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X:\Referat_IV2\#IV2030\63\Haushaltsrecht 2022\GemHVO\Internet\"/>
    </mc:Choice>
  </mc:AlternateContent>
  <workbookProtection workbookAlgorithmName="SHA-512" workbookHashValue="zey+zv1AueXdFE1TjcRR+EMn7GTevrs9fGmxA5nQAQphho2iy2MnzvxYy/PmrzIgHzX9hhX1RNxDbqZ7DG4/OA==" workbookSaltValue="0SRgBo6SRhAJzKZ0Vm2ZFw==" workbookSpinCount="100000" lockStructure="1"/>
  <bookViews>
    <workbookView xWindow="0" yWindow="0" windowWidth="21570" windowHeight="7980" tabRatio="807" firstSheet="1" activeTab="1"/>
  </bookViews>
  <sheets>
    <sheet name="Kommunen" sheetId="25" state="hidden" r:id="rId1"/>
    <sheet name="Deckblatt" sheetId="4" r:id="rId2"/>
    <sheet name="Allgemeine Finanzinformationen" sheetId="22" r:id="rId3"/>
    <sheet name="KASH Planjahr" sheetId="20" r:id="rId4"/>
    <sheet name="KASH Jahresabschluss" sheetId="27" r:id="rId5"/>
    <sheet name="Erläuterungen f. Lf." sheetId="23" r:id="rId6"/>
    <sheet name="FAG und Abgaben" sheetId="1" r:id="rId7"/>
    <sheet name="Ergebnishaushalt" sheetId="6" r:id="rId8"/>
    <sheet name="Details Ergebnishaushalt" sheetId="11" r:id="rId9"/>
    <sheet name="Finanzhaushalt" sheetId="17" r:id="rId10"/>
    <sheet name="Verbindlichkeiten " sheetId="12" r:id="rId11"/>
    <sheet name="Produktbereiche" sheetId="21" r:id="rId12"/>
    <sheet name="Liquiditätsplanung §105" sheetId="26" r:id="rId13"/>
    <sheet name="Anmerkungen Aufsichtsbehörde" sheetId="24" r:id="rId14"/>
  </sheets>
  <definedNames>
    <definedName name="_xlnm._FilterDatabase" localSheetId="1" hidden="1">Deckblatt!$B$5:$C$5</definedName>
    <definedName name="_xlnm._FilterDatabase" localSheetId="4" hidden="1">'KASH Jahresabschluss'!$B$3:$E$6</definedName>
    <definedName name="_xlnm._FilterDatabase" localSheetId="3" hidden="1">'KASH Planjahr'!$B$3:$E$6</definedName>
    <definedName name="_xlnm._FilterDatabase" localSheetId="0" hidden="1">Kommunen!$A$1:$F$451</definedName>
    <definedName name="Auswahlliste" localSheetId="4">'KASH Jahresabschluss'!$O$1:$O$3</definedName>
    <definedName name="Auswahlliste">'KASH Planjahr'!$O$1:$O$3</definedName>
    <definedName name="Beitragssysteme">'FAG und Abgaben'!$P$23:$P$24</definedName>
    <definedName name="_xlnm.Print_Area" localSheetId="1">Deckblatt!$A$1:$S$58</definedName>
    <definedName name="_xlnm.Print_Area" localSheetId="9">Finanzhaushalt!$A$1:$J$46</definedName>
    <definedName name="_xlnm.Print_Area" localSheetId="4">'KASH Jahresabschluss'!$A$1:$Q$42</definedName>
    <definedName name="_xlnm.Print_Area" localSheetId="3">'KASH Planjahr'!$A$1:$Q$43</definedName>
    <definedName name="_xlnm.Print_Area" localSheetId="0">Kommunen!$A$1:$D$430</definedName>
    <definedName name="_xlnm.Print_Area" localSheetId="12">'Liquiditätsplanung §105'!$A$1:$L$61</definedName>
    <definedName name="_xlnm.Print_Area" localSheetId="11">Produktbereiche!$A$1:$AB$53</definedName>
    <definedName name="_xlnm.Print_Area" localSheetId="10">'Verbindlichkeiten '!$A$1:$L$30</definedName>
    <definedName name="_xlnm.Print_Titles" localSheetId="8">'Details Ergebnishaushalt'!$2:$3</definedName>
    <definedName name="_xlnm.Print_Titles" localSheetId="7">Ergebnishaushalt!$2:$4</definedName>
    <definedName name="_xlnm.Print_Titles" localSheetId="11">Produktbereiche!$A:$B</definedName>
    <definedName name="LEER" localSheetId="4">'KASH Jahresabschluss'!$O$6</definedName>
    <definedName name="LEER">'KASH Planjahr'!$O$6</definedName>
  </definedNames>
  <calcPr calcId="162913"/>
</workbook>
</file>

<file path=xl/calcChain.xml><?xml version="1.0" encoding="utf-8"?>
<calcChain xmlns="http://schemas.openxmlformats.org/spreadsheetml/2006/main">
  <c r="E20" i="27" l="1"/>
  <c r="I4" i="27" l="1"/>
  <c r="G36" i="6" l="1"/>
  <c r="K8" i="27" l="1"/>
  <c r="K8" i="20"/>
  <c r="F52" i="26" l="1"/>
  <c r="D11" i="26"/>
  <c r="B9" i="26"/>
  <c r="E64" i="26" l="1"/>
  <c r="E63" i="26"/>
  <c r="E62" i="26"/>
  <c r="E73" i="26"/>
  <c r="E74" i="26"/>
  <c r="E38" i="26"/>
  <c r="E41" i="26"/>
  <c r="K18" i="27"/>
  <c r="K16" i="27"/>
  <c r="Q12" i="1" l="1"/>
  <c r="Q11" i="1"/>
  <c r="Q10" i="1"/>
  <c r="M12" i="1"/>
  <c r="M11" i="1"/>
  <c r="H26" i="12" l="1"/>
  <c r="J29" i="11"/>
  <c r="I29" i="11"/>
  <c r="H29" i="11"/>
  <c r="G29" i="11"/>
  <c r="F29" i="11"/>
  <c r="E29" i="11"/>
  <c r="A1" i="27" l="1"/>
  <c r="A1" i="20"/>
  <c r="M27" i="27"/>
  <c r="C24" i="27"/>
  <c r="C23" i="27"/>
  <c r="C22" i="27"/>
  <c r="C21" i="27"/>
  <c r="C8" i="27"/>
  <c r="C4" i="27"/>
  <c r="K20" i="27"/>
  <c r="M20" i="27" s="1"/>
  <c r="K14" i="27"/>
  <c r="M14" i="27" s="1"/>
  <c r="M12" i="27"/>
  <c r="I12" i="27"/>
  <c r="K6" i="27"/>
  <c r="M6" i="27" s="1"/>
  <c r="B16" i="26" l="1"/>
  <c r="F68" i="26" s="1"/>
  <c r="E17" i="26"/>
  <c r="E18" i="26"/>
  <c r="E19" i="26"/>
  <c r="E20" i="26"/>
  <c r="E21" i="26"/>
  <c r="E22" i="26"/>
  <c r="E23" i="26"/>
  <c r="E24" i="26"/>
  <c r="E25" i="26"/>
  <c r="E26" i="26"/>
  <c r="E27" i="26"/>
  <c r="E28" i="26"/>
  <c r="C29" i="26"/>
  <c r="C31" i="26" s="1"/>
  <c r="D29" i="26"/>
  <c r="D31" i="26" s="1"/>
  <c r="E40" i="26"/>
  <c r="E42" i="26" s="1"/>
  <c r="F38" i="26"/>
  <c r="F44" i="26" s="1"/>
  <c r="B49" i="26"/>
  <c r="F65" i="26"/>
  <c r="F66" i="26" s="1"/>
  <c r="F67" i="26" s="1"/>
  <c r="E32" i="26" l="1"/>
  <c r="E29" i="26"/>
  <c r="F17" i="26"/>
  <c r="F69" i="26"/>
  <c r="C26" i="20"/>
  <c r="F18" i="26" l="1"/>
  <c r="F19" i="26" s="1"/>
  <c r="F20" i="26" s="1"/>
  <c r="F21" i="26" s="1"/>
  <c r="F22" i="26" s="1"/>
  <c r="F23" i="26" s="1"/>
  <c r="F24" i="26" s="1"/>
  <c r="F25" i="26" s="1"/>
  <c r="F26" i="26" s="1"/>
  <c r="F27" i="26" s="1"/>
  <c r="F28" i="26" s="1"/>
  <c r="E26" i="20"/>
  <c r="F33" i="26" l="1"/>
  <c r="C25" i="20"/>
  <c r="E54" i="4" l="1"/>
  <c r="F28" i="12"/>
  <c r="C24" i="20"/>
  <c r="B54" i="4" l="1"/>
  <c r="F18" i="12"/>
  <c r="E25" i="20"/>
  <c r="E24" i="20"/>
  <c r="E20" i="20"/>
  <c r="K20" i="20" s="1"/>
  <c r="E18" i="20"/>
  <c r="K18" i="20" s="1"/>
  <c r="F20" i="12"/>
  <c r="F7" i="12"/>
  <c r="M12" i="20"/>
  <c r="I12" i="20" l="1"/>
  <c r="F14" i="12" l="1"/>
  <c r="E36" i="17" l="1"/>
  <c r="F9" i="12"/>
  <c r="H25" i="12"/>
  <c r="E43" i="17" l="1"/>
  <c r="F8" i="21" l="1"/>
  <c r="F9" i="21"/>
  <c r="F10" i="21"/>
  <c r="F11" i="21"/>
  <c r="F12" i="21"/>
  <c r="F13" i="21"/>
  <c r="F14" i="21"/>
  <c r="F15" i="21"/>
  <c r="F16" i="21"/>
  <c r="F17" i="21"/>
  <c r="F18" i="21"/>
  <c r="F19" i="21"/>
  <c r="F20" i="21"/>
  <c r="F21" i="21"/>
  <c r="F22" i="21"/>
  <c r="F23" i="21"/>
  <c r="F17" i="11" l="1"/>
  <c r="I17" i="11"/>
  <c r="J17" i="11"/>
  <c r="I14" i="11"/>
  <c r="J14" i="11"/>
  <c r="F14" i="11"/>
  <c r="F5" i="11"/>
  <c r="G5" i="11"/>
  <c r="G14" i="11" s="1"/>
  <c r="H5" i="11"/>
  <c r="H14" i="11" s="1"/>
  <c r="I5" i="11"/>
  <c r="J5" i="11"/>
  <c r="H34" i="6"/>
  <c r="I34" i="6"/>
  <c r="J34" i="6"/>
  <c r="G34" i="6"/>
  <c r="F34" i="6"/>
  <c r="E34" i="6"/>
  <c r="C5" i="4" l="1"/>
  <c r="F2" i="17" l="1"/>
  <c r="E2" i="17"/>
  <c r="F2" i="11"/>
  <c r="E2" i="11"/>
  <c r="E55" i="4" l="1"/>
  <c r="B53" i="4" l="1"/>
  <c r="B55" i="4"/>
  <c r="E56" i="4"/>
  <c r="F27" i="12"/>
  <c r="F21" i="12"/>
  <c r="F22" i="12" s="1"/>
  <c r="B52" i="4" l="1"/>
  <c r="B56" i="4"/>
  <c r="C7" i="4"/>
  <c r="C3" i="4"/>
  <c r="G5" i="4"/>
  <c r="E2" i="1" l="1"/>
  <c r="C2" i="1" s="1"/>
  <c r="B9" i="25"/>
  <c r="B10" i="25"/>
  <c r="B11" i="25"/>
  <c r="B12" i="25"/>
  <c r="B13" i="25"/>
  <c r="B14" i="25"/>
  <c r="B15" i="25"/>
  <c r="B16" i="25"/>
  <c r="B17" i="25"/>
  <c r="B18" i="25"/>
  <c r="B19" i="25"/>
  <c r="B20" i="25"/>
  <c r="B21" i="25"/>
  <c r="B22" i="25"/>
  <c r="B23" i="25"/>
  <c r="B24" i="25"/>
  <c r="B25" i="25"/>
  <c r="B26" i="25"/>
  <c r="B27" i="25"/>
  <c r="B28" i="25"/>
  <c r="B29" i="25"/>
  <c r="B31" i="25"/>
  <c r="B32" i="25"/>
  <c r="B33" i="25"/>
  <c r="B34" i="25"/>
  <c r="B35" i="25"/>
  <c r="B36" i="25"/>
  <c r="B37" i="25"/>
  <c r="B38" i="25"/>
  <c r="B39" i="25"/>
  <c r="B40" i="25"/>
  <c r="B41" i="25"/>
  <c r="B42" i="25"/>
  <c r="B43" i="25"/>
  <c r="B44" i="25"/>
  <c r="B45" i="25"/>
  <c r="B46" i="25"/>
  <c r="B47" i="25"/>
  <c r="B48" i="25"/>
  <c r="B49" i="25"/>
  <c r="B50" i="25"/>
  <c r="B51" i="25"/>
  <c r="B52" i="25"/>
  <c r="B53" i="25"/>
  <c r="B55" i="25"/>
  <c r="B56" i="25"/>
  <c r="B57" i="25"/>
  <c r="B58" i="25"/>
  <c r="B59" i="25"/>
  <c r="B60" i="25"/>
  <c r="B61" i="25"/>
  <c r="B62" i="25"/>
  <c r="B63" i="25"/>
  <c r="B64" i="25"/>
  <c r="B65" i="25"/>
  <c r="B66" i="25"/>
  <c r="B67" i="25"/>
  <c r="B68" i="25"/>
  <c r="B70" i="25"/>
  <c r="B71" i="25"/>
  <c r="B72" i="25"/>
  <c r="B73" i="25"/>
  <c r="B74" i="25"/>
  <c r="B75" i="25"/>
  <c r="B76" i="25"/>
  <c r="B77" i="25"/>
  <c r="B78" i="25"/>
  <c r="B79" i="25"/>
  <c r="B80" i="25"/>
  <c r="B81" i="25"/>
  <c r="B82"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11" i="25"/>
  <c r="B112" i="25"/>
  <c r="B114" i="25"/>
  <c r="B115" i="25"/>
  <c r="B116" i="25"/>
  <c r="B117" i="25"/>
  <c r="B118" i="25"/>
  <c r="B119" i="25"/>
  <c r="B120" i="25"/>
  <c r="B121" i="25"/>
  <c r="B122" i="25"/>
  <c r="B123" i="25"/>
  <c r="B124" i="25"/>
  <c r="B125" i="25"/>
  <c r="B127" i="25"/>
  <c r="B128" i="25"/>
  <c r="B129" i="25"/>
  <c r="B130" i="25"/>
  <c r="B131" i="25"/>
  <c r="B132" i="25"/>
  <c r="B133" i="25"/>
  <c r="B134" i="25"/>
  <c r="B135" i="25"/>
  <c r="B136" i="25"/>
  <c r="B137" i="25"/>
  <c r="B138" i="25"/>
  <c r="B139" i="25"/>
  <c r="B140" i="25"/>
  <c r="B141" i="25"/>
  <c r="B144" i="25"/>
  <c r="B145" i="25"/>
  <c r="B146" i="25"/>
  <c r="B147" i="25"/>
  <c r="B148" i="25"/>
  <c r="B149" i="25"/>
  <c r="B150" i="25"/>
  <c r="B151" i="25"/>
  <c r="B152" i="25"/>
  <c r="B153" i="25"/>
  <c r="B154" i="25"/>
  <c r="B155" i="25"/>
  <c r="B156" i="25"/>
  <c r="B158" i="25"/>
  <c r="B159" i="25"/>
  <c r="B160" i="25"/>
  <c r="B161" i="25"/>
  <c r="B162" i="25"/>
  <c r="B163" i="25"/>
  <c r="B164" i="25"/>
  <c r="B165" i="25"/>
  <c r="B166" i="25"/>
  <c r="B167" i="25"/>
  <c r="B168" i="25"/>
  <c r="B169" i="25"/>
  <c r="B170" i="25"/>
  <c r="B171" i="25"/>
  <c r="B172" i="25"/>
  <c r="B173" i="25"/>
  <c r="B174" i="25"/>
  <c r="B176" i="25"/>
  <c r="B177" i="25"/>
  <c r="B178" i="25"/>
  <c r="B179" i="25"/>
  <c r="B180" i="25"/>
  <c r="B181" i="25"/>
  <c r="B182" i="25"/>
  <c r="B183" i="25"/>
  <c r="B184" i="25"/>
  <c r="B185" i="25"/>
  <c r="B186" i="25"/>
  <c r="B187" i="25"/>
  <c r="B188" i="25"/>
  <c r="B189" i="25"/>
  <c r="B190" i="25"/>
  <c r="B191" i="25"/>
  <c r="B192" i="25"/>
  <c r="B193" i="25"/>
  <c r="B194" i="25"/>
  <c r="B195" i="25"/>
  <c r="B196" i="25"/>
  <c r="B197" i="25"/>
  <c r="B198" i="25"/>
  <c r="B199" i="25"/>
  <c r="B200" i="25"/>
  <c r="B202" i="25"/>
  <c r="B203" i="25"/>
  <c r="B204" i="25"/>
  <c r="B205" i="25"/>
  <c r="B206" i="25"/>
  <c r="B207" i="25"/>
  <c r="B208" i="25"/>
  <c r="B209" i="25"/>
  <c r="B210" i="25"/>
  <c r="B211" i="25"/>
  <c r="B212" i="25"/>
  <c r="B213" i="25"/>
  <c r="B214" i="25"/>
  <c r="B215" i="25"/>
  <c r="B216" i="25"/>
  <c r="B217" i="25"/>
  <c r="B218" i="25"/>
  <c r="B219" i="25"/>
  <c r="B221" i="25"/>
  <c r="B222" i="25"/>
  <c r="B223" i="25"/>
  <c r="B224" i="25"/>
  <c r="B225" i="25"/>
  <c r="B226" i="25"/>
  <c r="B227" i="25"/>
  <c r="B228" i="25"/>
  <c r="B229" i="25"/>
  <c r="B230" i="25"/>
  <c r="B231" i="25"/>
  <c r="B232" i="25"/>
  <c r="B233" i="25"/>
  <c r="B234" i="25"/>
  <c r="B235" i="25"/>
  <c r="B236" i="25"/>
  <c r="B237" i="25"/>
  <c r="B238" i="25"/>
  <c r="B239" i="25"/>
  <c r="B240" i="25"/>
  <c r="B241" i="25"/>
  <c r="B242" i="25"/>
  <c r="B243" i="25"/>
  <c r="B245" i="25"/>
  <c r="B246" i="25"/>
  <c r="B247" i="25"/>
  <c r="B248" i="25"/>
  <c r="B249" i="25"/>
  <c r="B250" i="25"/>
  <c r="B251" i="25"/>
  <c r="B252" i="25"/>
  <c r="B253" i="25"/>
  <c r="B254" i="25"/>
  <c r="B255" i="25"/>
  <c r="B256" i="25"/>
  <c r="B257" i="25"/>
  <c r="B258" i="25"/>
  <c r="B259" i="25"/>
  <c r="B260" i="25"/>
  <c r="B261" i="25"/>
  <c r="B262" i="25"/>
  <c r="B263" i="25"/>
  <c r="B265" i="25"/>
  <c r="B266" i="25"/>
  <c r="B267" i="25"/>
  <c r="B268" i="25"/>
  <c r="B269" i="25"/>
  <c r="B270" i="25"/>
  <c r="B271" i="25"/>
  <c r="B272" i="25"/>
  <c r="B273" i="25"/>
  <c r="B274" i="25"/>
  <c r="B275" i="25"/>
  <c r="B276" i="25"/>
  <c r="B277" i="25"/>
  <c r="B278" i="25"/>
  <c r="B279" i="25"/>
  <c r="B280" i="25"/>
  <c r="B281" i="25"/>
  <c r="B282" i="25"/>
  <c r="B283" i="25"/>
  <c r="B284" i="25"/>
  <c r="B285" i="25"/>
  <c r="B286" i="25"/>
  <c r="B288" i="25"/>
  <c r="B289" i="25"/>
  <c r="B290" i="25"/>
  <c r="B291" i="25"/>
  <c r="B292" i="25"/>
  <c r="B293" i="25"/>
  <c r="B294" i="25"/>
  <c r="B295" i="25"/>
  <c r="B296" i="25"/>
  <c r="B297" i="25"/>
  <c r="B298" i="25"/>
  <c r="B299" i="25"/>
  <c r="B300" i="25"/>
  <c r="B301" i="25"/>
  <c r="B302" i="25"/>
  <c r="B303" i="25"/>
  <c r="B304" i="25"/>
  <c r="B305" i="25"/>
  <c r="B306" i="25"/>
  <c r="B309" i="25"/>
  <c r="B310" i="25"/>
  <c r="B311" i="25"/>
  <c r="B312" i="25"/>
  <c r="B313" i="25"/>
  <c r="B314" i="25"/>
  <c r="B315" i="25"/>
  <c r="B316" i="25"/>
  <c r="B317" i="25"/>
  <c r="B318" i="25"/>
  <c r="B319" i="25"/>
  <c r="B320" i="25"/>
  <c r="B321" i="25"/>
  <c r="B322" i="25"/>
  <c r="B323" i="25"/>
  <c r="B324" i="25"/>
  <c r="B325" i="25"/>
  <c r="B326" i="25"/>
  <c r="B327" i="25"/>
  <c r="B328" i="25"/>
  <c r="B329" i="25"/>
  <c r="B330" i="25"/>
  <c r="B331" i="25"/>
  <c r="B333" i="25"/>
  <c r="B334" i="25"/>
  <c r="B335" i="25"/>
  <c r="B336" i="25"/>
  <c r="B337" i="25"/>
  <c r="B338" i="25"/>
  <c r="B339" i="25"/>
  <c r="B340" i="25"/>
  <c r="B341" i="25"/>
  <c r="B342" i="25"/>
  <c r="B343" i="25"/>
  <c r="B344" i="25"/>
  <c r="B345" i="25"/>
  <c r="B346" i="25"/>
  <c r="B347" i="25"/>
  <c r="B348" i="25"/>
  <c r="B349" i="25"/>
  <c r="B350" i="25"/>
  <c r="B351" i="25"/>
  <c r="B352" i="25"/>
  <c r="B354" i="25"/>
  <c r="B355" i="25"/>
  <c r="B356" i="25"/>
  <c r="B357" i="25"/>
  <c r="B358" i="25"/>
  <c r="B359" i="25"/>
  <c r="B360" i="25"/>
  <c r="B361" i="25"/>
  <c r="B362" i="25"/>
  <c r="B363" i="25"/>
  <c r="B364" i="25"/>
  <c r="B365" i="25"/>
  <c r="B366" i="25"/>
  <c r="B367" i="25"/>
  <c r="B368" i="25"/>
  <c r="B369" i="25"/>
  <c r="B370" i="25"/>
  <c r="B371" i="25"/>
  <c r="B372" i="25"/>
  <c r="B373" i="25"/>
  <c r="B374" i="25"/>
  <c r="B375" i="25"/>
  <c r="B376" i="25"/>
  <c r="B377" i="25"/>
  <c r="B378" i="25"/>
  <c r="B379" i="25"/>
  <c r="B380" i="25"/>
  <c r="B381" i="25"/>
  <c r="B382" i="25"/>
  <c r="B385" i="25"/>
  <c r="B386" i="25"/>
  <c r="B387" i="25"/>
  <c r="B388" i="25"/>
  <c r="B389" i="25"/>
  <c r="B390" i="25"/>
  <c r="B391" i="25"/>
  <c r="B392" i="25"/>
  <c r="B393" i="25"/>
  <c r="B394" i="25"/>
  <c r="B395" i="25"/>
  <c r="B396" i="25"/>
  <c r="B397" i="25"/>
  <c r="B398" i="25"/>
  <c r="B399" i="25"/>
  <c r="B400" i="25"/>
  <c r="B401" i="25"/>
  <c r="B402" i="25"/>
  <c r="B403" i="25"/>
  <c r="B404" i="25"/>
  <c r="B405" i="25"/>
  <c r="B406" i="25"/>
  <c r="B407" i="25"/>
  <c r="B408" i="25"/>
  <c r="B409" i="25"/>
  <c r="B410" i="25"/>
  <c r="B411" i="25"/>
  <c r="B413" i="25"/>
  <c r="B414" i="25"/>
  <c r="B415" i="25"/>
  <c r="B416" i="25"/>
  <c r="B417" i="25"/>
  <c r="B418" i="25"/>
  <c r="B419" i="25"/>
  <c r="B420" i="25"/>
  <c r="B421" i="25"/>
  <c r="B422" i="25"/>
  <c r="B423" i="25"/>
  <c r="B424" i="25"/>
  <c r="B425" i="25"/>
  <c r="B426" i="25"/>
  <c r="B427" i="25"/>
  <c r="B428" i="25"/>
  <c r="B429" i="25"/>
  <c r="B430" i="25"/>
  <c r="B431" i="25"/>
  <c r="B432" i="25"/>
  <c r="B433" i="25"/>
  <c r="B434" i="25"/>
  <c r="B436" i="25"/>
  <c r="B437" i="25"/>
  <c r="B438" i="25"/>
  <c r="B439" i="25"/>
  <c r="B440" i="25"/>
  <c r="B441" i="25"/>
  <c r="B442" i="25"/>
  <c r="B443" i="25"/>
  <c r="B444" i="25"/>
  <c r="B445" i="25"/>
  <c r="B446" i="25"/>
  <c r="B447" i="25"/>
  <c r="B448" i="25"/>
  <c r="B449" i="25"/>
  <c r="B450" i="25"/>
  <c r="B451" i="25"/>
  <c r="B8" i="25"/>
  <c r="F5" i="1" l="1"/>
  <c r="F3" i="1"/>
  <c r="F4" i="1"/>
  <c r="Y25" i="21"/>
  <c r="W25" i="21"/>
  <c r="X25" i="21" s="1"/>
  <c r="Z23" i="21"/>
  <c r="X23" i="21"/>
  <c r="Z22" i="21"/>
  <c r="X22" i="21"/>
  <c r="Z21" i="21"/>
  <c r="X21" i="21"/>
  <c r="Z20" i="21"/>
  <c r="X20" i="21"/>
  <c r="Z19" i="21"/>
  <c r="X19" i="21"/>
  <c r="Z18" i="21"/>
  <c r="X18" i="21"/>
  <c r="Z17" i="21"/>
  <c r="X17" i="21"/>
  <c r="Z16" i="21"/>
  <c r="X16" i="21"/>
  <c r="Z15" i="21"/>
  <c r="X15" i="21"/>
  <c r="Z14" i="21"/>
  <c r="X14" i="21"/>
  <c r="Z13" i="21"/>
  <c r="X13" i="21"/>
  <c r="Z12" i="21"/>
  <c r="X12" i="21"/>
  <c r="Z11" i="21"/>
  <c r="X11" i="21"/>
  <c r="Z10" i="21"/>
  <c r="X10" i="21"/>
  <c r="Z9" i="21"/>
  <c r="X9" i="21"/>
  <c r="Z8" i="21"/>
  <c r="X8" i="21"/>
  <c r="U25" i="21"/>
  <c r="V23" i="21"/>
  <c r="T23" i="21"/>
  <c r="V22" i="21"/>
  <c r="T22" i="21"/>
  <c r="V21" i="21"/>
  <c r="T21" i="21"/>
  <c r="V20" i="21"/>
  <c r="T20" i="21"/>
  <c r="V19" i="21"/>
  <c r="T19" i="21"/>
  <c r="V18" i="21"/>
  <c r="T18" i="21"/>
  <c r="V17" i="21"/>
  <c r="T17" i="21"/>
  <c r="V16" i="21"/>
  <c r="T16" i="21"/>
  <c r="V15" i="21"/>
  <c r="T15" i="21"/>
  <c r="V14" i="21"/>
  <c r="T14" i="21"/>
  <c r="V13" i="21"/>
  <c r="T13" i="21"/>
  <c r="V12" i="21"/>
  <c r="T12" i="21"/>
  <c r="V11" i="21"/>
  <c r="T11" i="21"/>
  <c r="V10" i="21"/>
  <c r="T10" i="21"/>
  <c r="V9" i="21"/>
  <c r="T9" i="21"/>
  <c r="V8" i="21"/>
  <c r="T8" i="21"/>
  <c r="O25" i="21"/>
  <c r="P25" i="21" s="1"/>
  <c r="M25" i="21"/>
  <c r="P23" i="21"/>
  <c r="P22" i="21"/>
  <c r="P21" i="21"/>
  <c r="P20" i="21"/>
  <c r="P19" i="21"/>
  <c r="P18" i="21"/>
  <c r="P17" i="21"/>
  <c r="P16" i="21"/>
  <c r="P15" i="21"/>
  <c r="P14" i="21"/>
  <c r="P13" i="21"/>
  <c r="P12" i="21"/>
  <c r="P11" i="21"/>
  <c r="P10" i="21"/>
  <c r="P9" i="21"/>
  <c r="P8" i="21"/>
  <c r="N23" i="21"/>
  <c r="N22" i="21"/>
  <c r="N21" i="21"/>
  <c r="N20" i="21"/>
  <c r="N19" i="21"/>
  <c r="N18" i="21"/>
  <c r="N17" i="21"/>
  <c r="N16" i="21"/>
  <c r="N15" i="21"/>
  <c r="N14" i="21"/>
  <c r="N13" i="21"/>
  <c r="N12" i="21"/>
  <c r="N11" i="21"/>
  <c r="N10" i="21"/>
  <c r="N9" i="21"/>
  <c r="N8" i="21"/>
  <c r="G25" i="21"/>
  <c r="H25" i="21" s="1"/>
  <c r="J23" i="21"/>
  <c r="H23" i="21"/>
  <c r="J22" i="21"/>
  <c r="H22" i="21"/>
  <c r="J21" i="21"/>
  <c r="H21" i="21"/>
  <c r="J20" i="21"/>
  <c r="H20" i="21"/>
  <c r="J19" i="21"/>
  <c r="H19" i="21"/>
  <c r="J18" i="21"/>
  <c r="H18" i="21"/>
  <c r="J17" i="21"/>
  <c r="H17" i="21"/>
  <c r="J16" i="21"/>
  <c r="H16" i="21"/>
  <c r="J15" i="21"/>
  <c r="H15" i="21"/>
  <c r="J14" i="21"/>
  <c r="H14" i="21"/>
  <c r="J13" i="21"/>
  <c r="H13" i="21"/>
  <c r="J12" i="21"/>
  <c r="H12" i="21"/>
  <c r="J11" i="21"/>
  <c r="H11" i="21"/>
  <c r="J10" i="21"/>
  <c r="H10" i="21"/>
  <c r="J9" i="21"/>
  <c r="H9" i="21"/>
  <c r="J8" i="21"/>
  <c r="H8" i="21"/>
  <c r="E25" i="21"/>
  <c r="I25" i="21"/>
  <c r="J25" i="21" s="1"/>
  <c r="V25" i="21" l="1"/>
  <c r="Z25" i="21"/>
  <c r="N25" i="21"/>
  <c r="F25" i="21"/>
  <c r="E7" i="22"/>
  <c r="E8" i="22"/>
  <c r="E9" i="22"/>
  <c r="E10" i="22"/>
  <c r="E11" i="22"/>
  <c r="E15" i="6" l="1"/>
  <c r="C24" i="23" l="1"/>
  <c r="E8" i="17" l="1"/>
  <c r="F8" i="17"/>
  <c r="E18" i="17"/>
  <c r="F18" i="17"/>
  <c r="H24" i="17"/>
  <c r="H25" i="17" s="1"/>
  <c r="I24" i="17"/>
  <c r="I25" i="17" s="1"/>
  <c r="J24" i="17"/>
  <c r="J25" i="17" s="1"/>
  <c r="G24" i="17"/>
  <c r="H18" i="17"/>
  <c r="I18" i="17"/>
  <c r="J18" i="17"/>
  <c r="H8" i="17"/>
  <c r="I8" i="17"/>
  <c r="J8" i="17"/>
  <c r="G18" i="17"/>
  <c r="G8" i="17"/>
  <c r="F49" i="26" s="1"/>
  <c r="F51" i="26" l="1"/>
  <c r="F53" i="26" s="1"/>
  <c r="J26" i="17"/>
  <c r="I26" i="17"/>
  <c r="H26" i="17"/>
  <c r="G25" i="17"/>
  <c r="G26" i="17" s="1"/>
  <c r="E23" i="20"/>
  <c r="E22" i="20" s="1"/>
  <c r="E24" i="6"/>
  <c r="E28" i="6"/>
  <c r="F28" i="6"/>
  <c r="G28" i="6"/>
  <c r="H28" i="6"/>
  <c r="I28" i="6"/>
  <c r="J28" i="6"/>
  <c r="J43" i="17"/>
  <c r="F43" i="17"/>
  <c r="G43" i="17"/>
  <c r="H43" i="17"/>
  <c r="I43" i="17"/>
  <c r="J36" i="17"/>
  <c r="I36" i="17"/>
  <c r="H36" i="17"/>
  <c r="H38" i="17" s="1"/>
  <c r="G36" i="17"/>
  <c r="F36" i="17"/>
  <c r="E30" i="6" l="1"/>
  <c r="E25" i="6"/>
  <c r="F24" i="17"/>
  <c r="F25" i="17" s="1"/>
  <c r="F26" i="17" s="1"/>
  <c r="I38" i="17"/>
  <c r="I45" i="17" s="1"/>
  <c r="I46" i="17" s="1"/>
  <c r="E24" i="17"/>
  <c r="E25" i="17" s="1"/>
  <c r="E26" i="17" s="1"/>
  <c r="E38" i="17" l="1"/>
  <c r="E45" i="17" s="1"/>
  <c r="E46" i="17" s="1"/>
  <c r="F38" i="17"/>
  <c r="F45" i="17" s="1"/>
  <c r="F46" i="17" s="1"/>
  <c r="G38" i="17"/>
  <c r="J38" i="17"/>
  <c r="J45" i="17" s="1"/>
  <c r="J46" i="17" s="1"/>
  <c r="H45" i="17" l="1"/>
  <c r="H46" i="17" s="1"/>
  <c r="G45" i="17"/>
  <c r="G46" i="17" s="1"/>
  <c r="G2" i="17" l="1"/>
  <c r="L8" i="21"/>
  <c r="R23" i="21" l="1"/>
  <c r="R22" i="21"/>
  <c r="R21" i="21"/>
  <c r="R20" i="21"/>
  <c r="R19" i="21"/>
  <c r="R18" i="21"/>
  <c r="R17" i="21"/>
  <c r="R16" i="21"/>
  <c r="R15" i="21"/>
  <c r="R14" i="21"/>
  <c r="R13" i="21"/>
  <c r="R12" i="21"/>
  <c r="R11" i="21"/>
  <c r="R10" i="21"/>
  <c r="R9" i="21"/>
  <c r="R8" i="21"/>
  <c r="L23" i="21"/>
  <c r="L22" i="21"/>
  <c r="L21" i="21"/>
  <c r="L20" i="21"/>
  <c r="L19" i="21"/>
  <c r="L18" i="21"/>
  <c r="L17" i="21"/>
  <c r="L16" i="21"/>
  <c r="L15" i="21"/>
  <c r="L14" i="21"/>
  <c r="L13" i="21"/>
  <c r="L12" i="21"/>
  <c r="L11" i="21"/>
  <c r="L10" i="21"/>
  <c r="L9" i="21"/>
  <c r="D8" i="21"/>
  <c r="D9" i="21"/>
  <c r="D10" i="21"/>
  <c r="D11" i="21"/>
  <c r="D12" i="21"/>
  <c r="D13" i="21"/>
  <c r="D14" i="21"/>
  <c r="D15" i="21"/>
  <c r="D16" i="21"/>
  <c r="D17" i="21"/>
  <c r="D18" i="21"/>
  <c r="D19" i="21"/>
  <c r="D20" i="21"/>
  <c r="D21" i="21"/>
  <c r="D22" i="21"/>
  <c r="D23" i="21"/>
  <c r="R25" i="21" l="1"/>
  <c r="C30" i="20"/>
  <c r="C29" i="20"/>
  <c r="C23" i="20"/>
  <c r="I4" i="20"/>
  <c r="C4" i="20"/>
  <c r="B11" i="22"/>
  <c r="B10" i="22"/>
  <c r="B9" i="22"/>
  <c r="B8" i="22"/>
  <c r="B7" i="22"/>
  <c r="C4" i="21"/>
  <c r="S4" i="21" s="1"/>
  <c r="B11" i="4"/>
  <c r="E14" i="4"/>
  <c r="C31" i="20" l="1"/>
  <c r="C41" i="6"/>
  <c r="I18" i="27"/>
  <c r="I18" i="20"/>
  <c r="I16" i="27"/>
  <c r="C16" i="27"/>
  <c r="C6" i="27"/>
  <c r="C18" i="27"/>
  <c r="C27" i="27"/>
  <c r="C12" i="27"/>
  <c r="C14" i="27"/>
  <c r="C11" i="27"/>
  <c r="I6" i="27"/>
  <c r="C18" i="20"/>
  <c r="C6" i="20"/>
  <c r="B2" i="12"/>
  <c r="C11" i="20"/>
  <c r="C12" i="20"/>
  <c r="B19" i="12"/>
  <c r="B13" i="12"/>
  <c r="B3" i="1"/>
  <c r="B10" i="1"/>
  <c r="B17" i="1"/>
  <c r="B30" i="12"/>
  <c r="B10" i="12"/>
  <c r="E51" i="4"/>
  <c r="C39" i="6"/>
  <c r="G1" i="11"/>
  <c r="I6" i="20"/>
  <c r="K4" i="21"/>
  <c r="G1" i="17"/>
  <c r="G1" i="6" s="1"/>
  <c r="G14" i="4"/>
  <c r="K16" i="20"/>
  <c r="M16" i="20" s="1"/>
  <c r="K6" i="20"/>
  <c r="M6" i="20" s="1"/>
  <c r="J1" i="11" l="1"/>
  <c r="F1" i="11"/>
  <c r="J1" i="17"/>
  <c r="J1" i="6" s="1"/>
  <c r="E1" i="17"/>
  <c r="E1" i="6" s="1"/>
  <c r="F1" i="17"/>
  <c r="F1" i="6" s="1"/>
  <c r="B40" i="22"/>
  <c r="B14" i="22"/>
  <c r="E1" i="11"/>
  <c r="I1" i="11"/>
  <c r="H1" i="11"/>
  <c r="B10" i="4"/>
  <c r="B12" i="4"/>
  <c r="I1" i="17"/>
  <c r="I1" i="6" s="1"/>
  <c r="H1" i="17"/>
  <c r="H1" i="6" s="1"/>
  <c r="K22" i="20"/>
  <c r="M22" i="20" s="1"/>
  <c r="F15" i="6" l="1"/>
  <c r="F29" i="6" s="1"/>
  <c r="G15" i="6"/>
  <c r="G29" i="6" s="1"/>
  <c r="H15" i="6"/>
  <c r="H29" i="6" s="1"/>
  <c r="I15" i="6"/>
  <c r="I29" i="6" s="1"/>
  <c r="J15" i="6"/>
  <c r="J29" i="6" s="1"/>
  <c r="M10" i="1" l="1"/>
  <c r="G39" i="4" l="1"/>
  <c r="G43" i="4"/>
  <c r="E43" i="4"/>
  <c r="G42" i="4"/>
  <c r="E42" i="4"/>
  <c r="G44" i="4" l="1"/>
  <c r="E44" i="4"/>
  <c r="G33" i="4" l="1"/>
  <c r="G32" i="4"/>
  <c r="E33" i="4"/>
  <c r="E32" i="4"/>
  <c r="E34" i="4" l="1"/>
  <c r="G34" i="4"/>
  <c r="G46" i="4" s="1"/>
  <c r="B4" i="1" l="1"/>
  <c r="B5" i="1" s="1"/>
  <c r="B11" i="1"/>
  <c r="B12" i="1" s="1"/>
  <c r="S25" i="21" l="1"/>
  <c r="T25" i="21" s="1"/>
  <c r="Q25" i="21"/>
  <c r="K25" i="21"/>
  <c r="L25" i="21" s="1"/>
  <c r="C25" i="21"/>
  <c r="D25" i="21" s="1"/>
  <c r="E38" i="4" l="1"/>
  <c r="E39" i="4"/>
  <c r="E46" i="4" s="1"/>
  <c r="G2" i="11"/>
  <c r="H2" i="11"/>
  <c r="I2" i="11"/>
  <c r="J2" i="11"/>
  <c r="F24" i="6"/>
  <c r="G24" i="6"/>
  <c r="H24" i="6"/>
  <c r="H25" i="6" s="1"/>
  <c r="I24" i="6"/>
  <c r="J24" i="6"/>
  <c r="H18" i="11"/>
  <c r="I18" i="11"/>
  <c r="J18" i="11"/>
  <c r="H15" i="11"/>
  <c r="H17" i="11" s="1"/>
  <c r="I15" i="11"/>
  <c r="J15" i="11"/>
  <c r="G18" i="11"/>
  <c r="F18" i="11"/>
  <c r="G15" i="11"/>
  <c r="G17" i="11" s="1"/>
  <c r="F15" i="11"/>
  <c r="E18" i="11"/>
  <c r="E15" i="11"/>
  <c r="E17" i="11" s="1"/>
  <c r="E5" i="11"/>
  <c r="E14" i="11" s="1"/>
  <c r="E30" i="11"/>
  <c r="F30" i="11"/>
  <c r="G30" i="11"/>
  <c r="H30" i="11"/>
  <c r="I30" i="11"/>
  <c r="J30" i="11"/>
  <c r="G23" i="4"/>
  <c r="G24" i="4"/>
  <c r="E23" i="4"/>
  <c r="E24" i="4"/>
  <c r="G30" i="6" l="1"/>
  <c r="G25" i="6"/>
  <c r="J30" i="6"/>
  <c r="J31" i="6" s="1"/>
  <c r="J35" i="6" s="1"/>
  <c r="J25" i="6"/>
  <c r="I30" i="6"/>
  <c r="I31" i="6" s="1"/>
  <c r="I35" i="6" s="1"/>
  <c r="I25" i="6"/>
  <c r="F30" i="6"/>
  <c r="F31" i="6" s="1"/>
  <c r="F35" i="6" s="1"/>
  <c r="F25" i="6"/>
  <c r="F30" i="12"/>
  <c r="B16" i="22"/>
  <c r="G38" i="4"/>
  <c r="E37" i="4"/>
  <c r="G37" i="4"/>
  <c r="G25" i="4"/>
  <c r="E18" i="4"/>
  <c r="H30" i="6"/>
  <c r="H31" i="6" s="1"/>
  <c r="H35" i="6" s="1"/>
  <c r="E19" i="4"/>
  <c r="G19" i="4"/>
  <c r="E25" i="4"/>
  <c r="G31" i="6" l="1"/>
  <c r="E27" i="4"/>
  <c r="E20" i="4"/>
  <c r="G35" i="6" l="1"/>
  <c r="E4" i="20"/>
  <c r="E29" i="20"/>
  <c r="M20" i="20" l="1"/>
  <c r="C5" i="20"/>
  <c r="M18" i="20"/>
  <c r="M8" i="20"/>
  <c r="O5" i="20"/>
  <c r="M5" i="20"/>
  <c r="K4" i="20"/>
  <c r="E30" i="20"/>
  <c r="E48" i="4"/>
  <c r="M4" i="20" l="1"/>
  <c r="M27" i="20" s="1"/>
  <c r="G48" i="4"/>
  <c r="E29" i="6" l="1"/>
  <c r="E31" i="6" s="1"/>
  <c r="G18" i="4"/>
  <c r="E35" i="6" l="1"/>
  <c r="E4" i="27"/>
  <c r="C5" i="27" s="1"/>
  <c r="G20" i="4"/>
  <c r="G27" i="4"/>
  <c r="M18" i="27" l="1"/>
  <c r="K4" i="27"/>
  <c r="O5" i="27"/>
  <c r="M8" i="27"/>
  <c r="M16" i="27"/>
  <c r="M5" i="27"/>
  <c r="M4" i="27" l="1"/>
  <c r="M25" i="27" s="1"/>
</calcChain>
</file>

<file path=xl/comments1.xml><?xml version="1.0" encoding="utf-8"?>
<comments xmlns="http://schemas.openxmlformats.org/spreadsheetml/2006/main">
  <authors>
    <author>Ostgen, Stephan (HMdIS)</author>
  </authors>
  <commentList>
    <comment ref="E41" authorId="0" shapeId="0">
      <text>
        <r>
          <rPr>
            <sz val="9"/>
            <color indexed="81"/>
            <rFont val="Tahoma"/>
            <family val="2"/>
          </rPr>
          <t xml:space="preserve">In diesem Feld ist aus der Vermögensrechnung des Haushaltsjahres der Ergebnisvortrag "Ordentliche Ergebnisse aus Vorjahren" anzugeben (Passivseite Position Nr. 1.3.1.1).
</t>
        </r>
      </text>
    </comment>
  </commentList>
</comments>
</file>

<file path=xl/comments2.xml><?xml version="1.0" encoding="utf-8"?>
<comments xmlns="http://schemas.openxmlformats.org/spreadsheetml/2006/main">
  <authors>
    <author>Ostgen, Stephan (HMdIS)</author>
  </authors>
  <commentList>
    <comment ref="E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 ref="F32" authorId="0" shapeId="0">
      <text>
        <r>
          <rPr>
            <sz val="9"/>
            <color indexed="81"/>
            <rFont val="Tahoma"/>
            <family val="2"/>
          </rPr>
          <t>Zu den Zinsen für Investitionskredite gehören auch die
Auflösungsbeträge der Ansparraten und Sonderbeiträge für Darlehen des Hessischen Investitionsfonds.</t>
        </r>
        <r>
          <rPr>
            <sz val="9"/>
            <color indexed="81"/>
            <rFont val="Tahoma"/>
            <family val="2"/>
          </rPr>
          <t xml:space="preserve">
</t>
        </r>
      </text>
    </comment>
    <comment ref="G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 ref="H32" authorId="0" shapeId="0">
      <text>
        <r>
          <rPr>
            <sz val="9"/>
            <color indexed="81"/>
            <rFont val="Tahoma"/>
            <family val="2"/>
          </rPr>
          <t>Zu den Zinsen für Investitionskredite gehören auch die
Auflösungsbeträge der Ansparraten und Sonderbeiträge für Darlehen des Hessischen Investitionsfonds.</t>
        </r>
      </text>
    </comment>
    <comment ref="I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 ref="J32" authorId="0" shapeId="0">
      <text>
        <r>
          <rPr>
            <sz val="9"/>
            <color indexed="81"/>
            <rFont val="Tahoma"/>
            <family val="2"/>
          </rPr>
          <t xml:space="preserve">Zu den Zinsen für Investitionskredite gehören auch die
Auflösungsbeträge der Ansparraten und Sonderbeiträge für Darlehen des Hessischen Investitionsfonds.
</t>
        </r>
      </text>
    </comment>
  </commentList>
</comments>
</file>

<file path=xl/comments3.xml><?xml version="1.0" encoding="utf-8"?>
<comments xmlns="http://schemas.openxmlformats.org/spreadsheetml/2006/main">
  <authors>
    <author>Ostgen, Stephan (HMdIS)</author>
  </authors>
  <commentList>
    <comment ref="F25" authorId="0" shapeId="0">
      <text>
        <r>
          <rPr>
            <b/>
            <sz val="9"/>
            <color indexed="81"/>
            <rFont val="Tahoma"/>
            <family val="2"/>
          </rPr>
          <t>siehe Muster 4 zu § 1 Abs. 4 Nr. 5
(3. Verbindlichkeiten aus Kassenkrediten)</t>
        </r>
        <r>
          <rPr>
            <sz val="9"/>
            <color indexed="81"/>
            <rFont val="Tahoma"/>
            <family val="2"/>
          </rPr>
          <t xml:space="preserve">
</t>
        </r>
      </text>
    </comment>
  </commentList>
</comments>
</file>

<file path=xl/sharedStrings.xml><?xml version="1.0" encoding="utf-8"?>
<sst xmlns="http://schemas.openxmlformats.org/spreadsheetml/2006/main" count="1971" uniqueCount="877">
  <si>
    <t>Regierungsbezirk:</t>
  </si>
  <si>
    <t>Landkreis:</t>
  </si>
  <si>
    <t>Ergebnishaushalt</t>
  </si>
  <si>
    <t>ordentliches Ergebnis</t>
  </si>
  <si>
    <t>Erträge</t>
  </si>
  <si>
    <t>Aufwendungen</t>
  </si>
  <si>
    <t>außerordentliches Ergebnis</t>
  </si>
  <si>
    <t>Finanzhaushalt</t>
  </si>
  <si>
    <t>Einzahlungen aus Investitionstätigkeit</t>
  </si>
  <si>
    <t>Auszahlungen aus Investitionstätigkeit</t>
  </si>
  <si>
    <t>Auszahlungen aus Finanzierungstätigkeit</t>
  </si>
  <si>
    <t>Einzahlungen aus Finanzierungstätigkeit</t>
  </si>
  <si>
    <t>Haushaltsjahr</t>
  </si>
  <si>
    <t>Schulumlage</t>
  </si>
  <si>
    <t>Krankenhausumlage</t>
  </si>
  <si>
    <t>+</t>
  </si>
  <si>
    <t>Erträge aus Transferleistungen</t>
  </si>
  <si>
    <t>-</t>
  </si>
  <si>
    <t>Personalaufwendungen</t>
  </si>
  <si>
    <t>Abschreibungen</t>
  </si>
  <si>
    <t>Zinsen und ähnliche Aufwendungen</t>
  </si>
  <si>
    <t>Finanzergebnis</t>
  </si>
  <si>
    <t>Ordentliches Ergebnis</t>
  </si>
  <si>
    <t>Außerordentliches Ergebnis</t>
  </si>
  <si>
    <t>Jahresergebnis</t>
  </si>
  <si>
    <t>Privatrechtliche Leistungsentgelte</t>
  </si>
  <si>
    <t>548-549</t>
  </si>
  <si>
    <t>Kostenersatzleistungen und -erstattungen</t>
  </si>
  <si>
    <t>Bestandsveränderungen und aktivierte Eigenleistungen</t>
  </si>
  <si>
    <t>Steuern und steuerähnliche Erträge einschließlich Erträge aus gesetzlichen Umlagen</t>
  </si>
  <si>
    <t>540-543</t>
  </si>
  <si>
    <t>Erträge aus Zuweisungen und Zuschüssen für laufende Zwecke und allgemeine Umlagen</t>
  </si>
  <si>
    <t>Sonstige ordentliche Erträge</t>
  </si>
  <si>
    <t>Summe der ordentlichen Erträge</t>
  </si>
  <si>
    <t>644-646</t>
  </si>
  <si>
    <t>Versorgungsaufwendungen</t>
  </si>
  <si>
    <t>60,61,
67-69</t>
  </si>
  <si>
    <t>Aufwendungen für Sach- und Dienstleistungen</t>
  </si>
  <si>
    <t>Steueraufwendungen einschließlich Aufwendungen aus gesetzlichen Umlageverpflichtungen</t>
  </si>
  <si>
    <t>Transferaufwendungen</t>
  </si>
  <si>
    <t>70, 74, 76</t>
  </si>
  <si>
    <t>Sonstige ordentliche Aufwendungen</t>
  </si>
  <si>
    <t>Summe der ordentlichen Aufwendungen</t>
  </si>
  <si>
    <t>Verwaltungsergebnis</t>
  </si>
  <si>
    <t>Finanzerträge</t>
  </si>
  <si>
    <t>Außerordentliche Erträge</t>
  </si>
  <si>
    <t>Außerordentliche Aufwendungen</t>
  </si>
  <si>
    <t>Erläuterungen</t>
  </si>
  <si>
    <t>62, 63,
640-643,
647-649, 65</t>
  </si>
  <si>
    <t>Einzahlungen aus Investitionszuweisungen und -zuschüssen sowie aus Investitionsbeiträgen</t>
  </si>
  <si>
    <t>v.H.</t>
  </si>
  <si>
    <t>Einzahlungen aus Abgängen von Vermögensgegenständen des Sachanlagevermögens und des immateriellen Anlagevermögens</t>
  </si>
  <si>
    <t>Position</t>
  </si>
  <si>
    <t>Konten</t>
  </si>
  <si>
    <t>Bezeichnung</t>
  </si>
  <si>
    <t>Saldo</t>
  </si>
  <si>
    <t>Gemeinde:</t>
  </si>
  <si>
    <r>
      <t xml:space="preserve">Finanzmittelüberschuss </t>
    </r>
    <r>
      <rPr>
        <b/>
        <sz val="10"/>
        <rFont val="AvenirNext LT Com Regular"/>
        <family val="2"/>
      </rPr>
      <t>(+)</t>
    </r>
    <r>
      <rPr>
        <sz val="10"/>
        <rFont val="AvenirNext LT Com Regular"/>
        <family val="2"/>
      </rPr>
      <t xml:space="preserve">/
-fehlbedarf </t>
    </r>
    <r>
      <rPr>
        <b/>
        <sz val="10"/>
        <rFont val="AvenirNext LT Com Regular"/>
        <family val="2"/>
      </rPr>
      <t>(-)</t>
    </r>
  </si>
  <si>
    <t>Euro</t>
  </si>
  <si>
    <t>Steuerhebesätze</t>
  </si>
  <si>
    <t>Grundsteuer A</t>
  </si>
  <si>
    <t>Grundsteuer B</t>
  </si>
  <si>
    <t>Gewerbesteuer</t>
  </si>
  <si>
    <t>davon</t>
  </si>
  <si>
    <t>Einwohnerzahl am:</t>
  </si>
  <si>
    <t>Jahr</t>
  </si>
  <si>
    <t>Aufschlüsselung von Erträgen und Aufwendungen</t>
  </si>
  <si>
    <t>Erträge aus der Auflösung von Sonderposten aus Investitionszuweisungen, -zuschüssen und Investitionsbeiträgen</t>
  </si>
  <si>
    <t>Öffentlich-rechtliche Leistungsentgelte</t>
  </si>
  <si>
    <t>Fpl-Jahr</t>
  </si>
  <si>
    <t>Auszahlungen für Investitionen in das Finanzanlagevermögen</t>
  </si>
  <si>
    <t>Einzahlungen aus Abgängen von Vermögensgegenständen des Finanzanlagevermögens</t>
  </si>
  <si>
    <t>Einzelgenehmigung der Kredite wegen Gefährdung der dauernden Leistungsfähigkeit</t>
  </si>
  <si>
    <t>Die Haushaltssatzung enthält genehmigungspflichtige Teile</t>
  </si>
  <si>
    <t>Angaben für Gemeinden und Städte</t>
  </si>
  <si>
    <t>Gesamtsumme</t>
  </si>
  <si>
    <t>(Behörde)</t>
  </si>
  <si>
    <t>(Fachabteilung)</t>
  </si>
  <si>
    <t>(Ansprechpartner(in))</t>
  </si>
  <si>
    <t>(Telefon)</t>
  </si>
  <si>
    <t>(Ort, Erstelldatum)</t>
  </si>
  <si>
    <t>Überschuss (+)/
Fehlbedarf (-)</t>
  </si>
  <si>
    <t>Jahresabschluss</t>
  </si>
  <si>
    <t>Nr.</t>
  </si>
  <si>
    <t xml:space="preserve">Summe der Einzahlungen aus laufender Verwaltungstätigkeit </t>
  </si>
  <si>
    <t xml:space="preserve">Summe der Auszahlungen aus laufender Verwaltungstätigkeit </t>
  </si>
  <si>
    <t>Summe der Einzahlungen aus Investitionstätigkeit</t>
  </si>
  <si>
    <t>Auszahlungen für den Erwerb von Grundstücken und Gebäuden</t>
  </si>
  <si>
    <t>Auszahlungen für Baumaßnahmen</t>
  </si>
  <si>
    <t xml:space="preserve"> 840,
843</t>
  </si>
  <si>
    <t>Auszahlungen für Investitionen in das sonstige Sachanlagevermögen und immaterielle Anlagevermögen</t>
  </si>
  <si>
    <t>Summe der Auszahlungen aus Investitionstätigkeit</t>
  </si>
  <si>
    <t>Zahlungsmittelüberschuss / Zahlungsmittelfehlbedarf</t>
  </si>
  <si>
    <t>Einzahlungen aus der Aufnahme von Krediten und wirtschaftlich vergleichbaren Vorgängen für Investitionen</t>
  </si>
  <si>
    <t>Änderung des Zahlungsmittelbestandes zum Ende des Haushaltsjahres</t>
  </si>
  <si>
    <t>Zahlungsmittelüberschuss/Zahlungsmittelbedarf aus haushaltsunwirksamen Zahlungsvorgängen</t>
  </si>
  <si>
    <t>Bestand an Zahlungsmitteln zu Beginn des Haushaltsjahres</t>
  </si>
  <si>
    <t>Veränderung des Bestandes an Zahlungsmitteln</t>
  </si>
  <si>
    <t>Bestand an Zahlungsmitteln am Ende des Haushaltsjahres</t>
  </si>
  <si>
    <t>Auszahlungen aus laufender Verwaltungstätigkeit</t>
  </si>
  <si>
    <t>Zahlungsmittelfluss nach § 3  GemHVO</t>
  </si>
  <si>
    <t>Zahlungsmittelfluss aus Investitionstätigkeit</t>
  </si>
  <si>
    <t>Zahlungsmittelfluss aus Finanzierungstätigkeit</t>
  </si>
  <si>
    <t>Zahlungsmittelfluss aus laufender Verwaltungstätigkeit</t>
  </si>
  <si>
    <t>Erträge aus Kreisumlage (Produktgruppe 1601)</t>
  </si>
  <si>
    <t>Einzahlungen aus laufender Verwaltungstätigkeit</t>
  </si>
  <si>
    <t xml:space="preserve">Gesamtbetrag der ordentlichen Erträge </t>
  </si>
  <si>
    <t xml:space="preserve">Gesamtbetrag der ordentlichen Aufwendungen </t>
  </si>
  <si>
    <t xml:space="preserve">Laufende Verwaltungstätigkeit </t>
  </si>
  <si>
    <t>Investitionstätigkeit</t>
  </si>
  <si>
    <t>Finanzierungstätigkeit</t>
  </si>
  <si>
    <t>1.</t>
  </si>
  <si>
    <t>2.</t>
  </si>
  <si>
    <t>3.</t>
  </si>
  <si>
    <t>4.</t>
  </si>
  <si>
    <t>Bestand an Eigenkapital</t>
  </si>
  <si>
    <t>5.</t>
  </si>
  <si>
    <t>6.</t>
  </si>
  <si>
    <t>- € -</t>
  </si>
  <si>
    <t>Bitte auswählen</t>
  </si>
  <si>
    <t>Solidaritätsumlage</t>
  </si>
  <si>
    <t>-  € -</t>
  </si>
  <si>
    <t>Darmstadt</t>
  </si>
  <si>
    <t>Gießen</t>
  </si>
  <si>
    <t>Kassel</t>
  </si>
  <si>
    <t>Haushaltsansatz</t>
  </si>
  <si>
    <t>Ist 31.12.</t>
  </si>
  <si>
    <t>Haushaltsvorjahr</t>
  </si>
  <si>
    <t>Haushaltsvorvorjahr</t>
  </si>
  <si>
    <t>vorläufiges Rechnungsergebnis</t>
  </si>
  <si>
    <t>geprüftes Rechnungsergebnis</t>
  </si>
  <si>
    <t>Status:</t>
  </si>
  <si>
    <t>ordentliche Erträge</t>
  </si>
  <si>
    <t>ordentliche Aufwendungen</t>
  </si>
  <si>
    <t>PBNr.</t>
  </si>
  <si>
    <t>Produktbereich/Produktgruppe</t>
  </si>
  <si>
    <t>pro Einwohner</t>
  </si>
  <si>
    <t>Innere Verwaltung</t>
  </si>
  <si>
    <t>Sicherheit und Ordnung</t>
  </si>
  <si>
    <t>Schulträgeraufgaben</t>
  </si>
  <si>
    <t>Kultur und Wissenschaft</t>
  </si>
  <si>
    <t>Soziale Leistungen</t>
  </si>
  <si>
    <t>Kinder-, Jugend- und Familienhilfe</t>
  </si>
  <si>
    <t>Gesundheitsdienste</t>
  </si>
  <si>
    <t>Sportförderung</t>
  </si>
  <si>
    <t>Räumliche Planung und Entwicklung, Geoinformationen</t>
  </si>
  <si>
    <t>Bauen und Wohnen</t>
  </si>
  <si>
    <t>Ver- und Entsorgung</t>
  </si>
  <si>
    <t>Verkehrsflächen und -anlagen, ÖPNV</t>
  </si>
  <si>
    <t>Natur- und Landschaftspflege</t>
  </si>
  <si>
    <t>Umweltschutz</t>
  </si>
  <si>
    <t>Wirtschaft und Tourismus</t>
  </si>
  <si>
    <t>Allgemeine Finanzwirtschaft</t>
  </si>
  <si>
    <t>€</t>
  </si>
  <si>
    <t>im Haushaltsjahr veranschlagte Kreditaufnahmen - Kernhaushalt -</t>
  </si>
  <si>
    <t>Ordentliche Tilgung - Kernhaushalt</t>
  </si>
  <si>
    <t xml:space="preserve">Außerordentliche Tilgung - Kernhaushalt - </t>
  </si>
  <si>
    <t>Main-Kinzig-Kreis</t>
  </si>
  <si>
    <t>Main-Taunus-Kreis</t>
  </si>
  <si>
    <t>Odenwaldkreis</t>
  </si>
  <si>
    <t>Rheingau-Taunus-Kreis</t>
  </si>
  <si>
    <t>Wetteraukreis</t>
  </si>
  <si>
    <t>Lahn-Dill-Kreis</t>
  </si>
  <si>
    <t>Vogelsbergkreis</t>
  </si>
  <si>
    <t>Schwalm-Eder-Kreis</t>
  </si>
  <si>
    <t>Werra-Meißner-Kreis</t>
  </si>
  <si>
    <t>Offenbach</t>
  </si>
  <si>
    <t>Limburg-Weilburg</t>
  </si>
  <si>
    <t>Marburg-Biedenkopf</t>
  </si>
  <si>
    <t>Fulda</t>
  </si>
  <si>
    <t>Hersfeld-Rotenburg</t>
  </si>
  <si>
    <t>Waldeck-Frankenberg</t>
  </si>
  <si>
    <t xml:space="preserve">Das ordentliche Ergebnis wird automatisch aus dem Blatt "Ergebnishaushalt" übernommen.  </t>
  </si>
  <si>
    <t xml:space="preserve"> -€ -</t>
  </si>
  <si>
    <t>Allgemeine Finanzinformationen</t>
  </si>
  <si>
    <t>andere Steuern insgesamt (Produktgruppe 1601)</t>
  </si>
  <si>
    <t>Verbandsumlage LWV</t>
  </si>
  <si>
    <t>Auswertung der Angaben zur Beurteilung der dauernden finanziellen Leistungsfähigkeit</t>
  </si>
  <si>
    <t>Indikatorwert</t>
  </si>
  <si>
    <t>Nachrichtlich</t>
  </si>
  <si>
    <t>Summe und Status</t>
  </si>
  <si>
    <t>Nachrichtlich:</t>
  </si>
  <si>
    <t>Erträge aus Gemeindeanteil an Einkommensteuer (Produktgruppe 1601)</t>
  </si>
  <si>
    <t>Erträge aus Gemeindeanteil an Umsatzsteuer (Produktgruppe 1601)</t>
  </si>
  <si>
    <t>Erträge aus Grundsteuer B (Produktgruppe 1601)</t>
  </si>
  <si>
    <t>Erträge aus Gewerbesteuer (Produktgruppe 1601)</t>
  </si>
  <si>
    <t>Erträge aus Schulumlage (Produktgruppe 0313)</t>
  </si>
  <si>
    <t>Erträge aus Grundsteuer A (Produktgruppe 1601)</t>
  </si>
  <si>
    <t>4.1</t>
  </si>
  <si>
    <t>4.2</t>
  </si>
  <si>
    <t>Ist</t>
  </si>
  <si>
    <t>Differenz</t>
  </si>
  <si>
    <t>Rechnungsergebnisse, Plan-Ist-Vergleiche und Status Jahresabschlüsse</t>
  </si>
  <si>
    <t>Weitere Abgaben, die erhoben werden:</t>
  </si>
  <si>
    <t>Spielapparatesteuer</t>
  </si>
  <si>
    <t>Zweitwohnungssteuer</t>
  </si>
  <si>
    <t>Pferdesteuer</t>
  </si>
  <si>
    <t>Jagdsteuer</t>
  </si>
  <si>
    <t>Fischereisteuer</t>
  </si>
  <si>
    <t>Kurbeitrag</t>
  </si>
  <si>
    <t>Tourismusbeitrag</t>
  </si>
  <si>
    <t>Es ist der (ggf. voraussichtliche) Bestand der Rücklage aus Überschüssen des ordentlichen Ergebnisses zum Ende des Haushaltsvorjahres anzugeben.</t>
  </si>
  <si>
    <t>Getränkesteuer</t>
  </si>
  <si>
    <t>Sonstige Abgaben:</t>
  </si>
  <si>
    <t>Ergebnisplan</t>
  </si>
  <si>
    <t>Indikator pro Einwohner</t>
  </si>
  <si>
    <t xml:space="preserve">Bewertung ggf. der Entwicklung 
nach Indikatoren
pro Einwohner
</t>
  </si>
  <si>
    <t>Gewichtung der Indikatoren
pro Einwohner
 in %</t>
  </si>
  <si>
    <t>Status</t>
  </si>
  <si>
    <t xml:space="preserve">ordentliches Ergebnis
</t>
  </si>
  <si>
    <t>Überschuss (mehr als + 5 €) = 1</t>
  </si>
  <si>
    <t xml:space="preserve"> grün (+)  ≥ 70%
gelb (0) &lt; 70% und &gt; 40%
rot (-) ≤ 40%</t>
  </si>
  <si>
    <t>jahresbezogener Haushaltsausgleich (im Korridor von - 5 € bis + 5 € oder durch Rücklage) = 0,75</t>
  </si>
  <si>
    <t>defizitär im Korridor (weniger als 
- 5 € bis - 40 €) = 0,5</t>
  </si>
  <si>
    <t>defizitär im Korridor (weniger als 
- 40 € bis - 75 €) = 0,25</t>
  </si>
  <si>
    <t>defizitär (weniger als -75 €) = 0</t>
  </si>
  <si>
    <t>Bestand ordentliche Rücklage</t>
  </si>
  <si>
    <t>Bestand = 1</t>
  </si>
  <si>
    <t>positiver Eigenkapitalbestand = 1</t>
  </si>
  <si>
    <t>negativer Eigenkapitalbestand 
(≤  0 €) = 0</t>
  </si>
  <si>
    <t>im Korridor von 0 € bis + 5 € = 0,5</t>
  </si>
  <si>
    <t>Saldo &lt; 0 € = 0</t>
  </si>
  <si>
    <t>Haushaltssicherungskonzept erforderlich und vorgelegt</t>
  </si>
  <si>
    <t>Ggf. Bemerkungen</t>
  </si>
  <si>
    <t xml:space="preserve">Vorliegende Auswertung präjudiziert das Haushaltsgenehmigungsverfahren nicht. Die notwendige individuelle Prüfung und Beurteilung der Aufsichtsbehörde wird hierdurch nicht ersetzt. </t>
  </si>
  <si>
    <t>Angaben zu weiteren Abgaben (ohne Gebühren)</t>
  </si>
  <si>
    <t>Zahlungsmittelüberschuss / Zahlungsmittelbedarf
aus laufender Verwaltungstätigkeit</t>
  </si>
  <si>
    <t>Zahlungsmittelüberschuss / Zahlungsmittelbedarf
aus Investitionstätigkeit</t>
  </si>
  <si>
    <t>Zahlungsmittelüberschuss / Zahlungsmittelbedarf
aus Finanzierungstätigkeit</t>
  </si>
  <si>
    <t>im Haushaltsjahr veranschlagte Kreditaufnahmen - Eigenbetriebe und Anstalten des öffentlichen Rechts nach HGO -</t>
  </si>
  <si>
    <t xml:space="preserve">Ordentliche Tilgung - Eigenbetriebe und Anstalten des öffentlichen Rechts nach HGO - </t>
  </si>
  <si>
    <t xml:space="preserve">Außerordentliche Tilgung - Eigenbetriebe und Anstalten des öffentlichen Rechts nach HGO - </t>
  </si>
  <si>
    <t>Aufsichtsbehördliche Anmerkungen zur Haushaltsgenehmigung</t>
  </si>
  <si>
    <t xml:space="preserve">Individuelle Einschätzung der Aufsichtsbehörde zur dauernden finanziellen Leistungsfähigkeit der Kommune: </t>
  </si>
  <si>
    <t>2.1</t>
  </si>
  <si>
    <t>2.2</t>
  </si>
  <si>
    <t>Eigenbetriebe</t>
  </si>
  <si>
    <t>Anstalten des öffentlichen Rechts nach der HGO</t>
  </si>
  <si>
    <t>Aufstellung der Eigenbetriebe und Anstalten des öffentlichen Rechts nach der HGO</t>
  </si>
  <si>
    <t>Voraussichtlicher Stand der Kredite am Ende des Haushaltsjahres - Eigenbetriebe und Anstalten des öffentlichen Rechts nach HGO</t>
  </si>
  <si>
    <t xml:space="preserve">Voraussichtlicher Stand der Kredite am Ende des Haushaltsjahres - Kernverwaltung  und Eigenbetriebe und Anstalten des öffentlichen Rechts nach HGO - </t>
  </si>
  <si>
    <t>Finanzstatusbericht zur Beurteilung der finanziellen Leistungsfähigkeit</t>
  </si>
  <si>
    <t xml:space="preserve">   Haushaltsjahr</t>
  </si>
  <si>
    <t>Ordentliches Ergebnis in €</t>
  </si>
  <si>
    <t xml:space="preserve">Plan </t>
  </si>
  <si>
    <t xml:space="preserve">Diese Angabe wird bei einem geplanten negativen ordentlichen Ergebnis rechnerisch ermittelt. </t>
  </si>
  <si>
    <t>Nivellierungshebesätze nach FAG</t>
  </si>
  <si>
    <t xml:space="preserve">   Kreisfreie Stadt     </t>
  </si>
  <si>
    <t xml:space="preserve">Der Zahlungsmittelfluss aus laufender Verwaltungstätigkeit wird automatisch aus dem Blatt "Finanzhaushalt" übernommen.  </t>
  </si>
  <si>
    <t>Vervielfältiger Gewerbesteuerumlage</t>
  </si>
  <si>
    <t>Aufwendungen für Zuweisungen und Zuschüsse sowie besondere Finanzaufwendungen</t>
  </si>
  <si>
    <t>Zinsen und andere Finanzaufwendungen</t>
  </si>
  <si>
    <t>absolut vor ILV</t>
  </si>
  <si>
    <t>absolut nach ILV</t>
  </si>
  <si>
    <t>Landkreis</t>
  </si>
  <si>
    <t>Regierungsbezirk</t>
  </si>
  <si>
    <t>kreisfreie Stadt</t>
  </si>
  <si>
    <t>Frankfurt am Main</t>
  </si>
  <si>
    <t>Wiesbaden</t>
  </si>
  <si>
    <t>Abtsteinach</t>
  </si>
  <si>
    <t>Bergstraße</t>
  </si>
  <si>
    <t>Bensheim</t>
  </si>
  <si>
    <t>Biblis</t>
  </si>
  <si>
    <t>Birkenau</t>
  </si>
  <si>
    <t>Bürstadt</t>
  </si>
  <si>
    <t>Einhausen</t>
  </si>
  <si>
    <t>Fürth</t>
  </si>
  <si>
    <t>Gorxheimertal</t>
  </si>
  <si>
    <t>Grasellenbach</t>
  </si>
  <si>
    <t>Groß-Rohrheim</t>
  </si>
  <si>
    <t>Lampertheim</t>
  </si>
  <si>
    <t>Lindenfels</t>
  </si>
  <si>
    <t>Lorsch</t>
  </si>
  <si>
    <t>Mörlenbach</t>
  </si>
  <si>
    <t>Neckarsteinach</t>
  </si>
  <si>
    <t>Rimbach</t>
  </si>
  <si>
    <t>Viernheim</t>
  </si>
  <si>
    <t>Wald-Michelbach</t>
  </si>
  <si>
    <t>Zwingenberg</t>
  </si>
  <si>
    <t>Alsbach-Hähnlein</t>
  </si>
  <si>
    <t>Darmstadt-Dieburg</t>
  </si>
  <si>
    <t>Babenhausen</t>
  </si>
  <si>
    <t>Bickenbach</t>
  </si>
  <si>
    <t>Dieburg</t>
  </si>
  <si>
    <t>Eppertshausen</t>
  </si>
  <si>
    <t>Erzhausen</t>
  </si>
  <si>
    <t>Fischbachtal</t>
  </si>
  <si>
    <t>Griesheim</t>
  </si>
  <si>
    <t>Groß-Bieberau</t>
  </si>
  <si>
    <t>Groß-Umstadt</t>
  </si>
  <si>
    <t>Groß-Zimmern</t>
  </si>
  <si>
    <t>Messel</t>
  </si>
  <si>
    <t>Modautal</t>
  </si>
  <si>
    <t>Mühltal</t>
  </si>
  <si>
    <t>Münster</t>
  </si>
  <si>
    <t>Ober-Ramstadt</t>
  </si>
  <si>
    <t>Otzberg</t>
  </si>
  <si>
    <t>Pfungstadt</t>
  </si>
  <si>
    <t>Reinheim</t>
  </si>
  <si>
    <t>Roßdorf</t>
  </si>
  <si>
    <t>Schaafheim</t>
  </si>
  <si>
    <t>Seeheim-Jugenheim</t>
  </si>
  <si>
    <t>Weiterstadt</t>
  </si>
  <si>
    <t>Biebesheim am Rhein</t>
  </si>
  <si>
    <t xml:space="preserve">Groß-Gerau </t>
  </si>
  <si>
    <t>Bischofsheim</t>
  </si>
  <si>
    <t>Büttelborn</t>
  </si>
  <si>
    <t>Gernsheim</t>
  </si>
  <si>
    <t>Ginsheim-Gustavsburg</t>
  </si>
  <si>
    <t>Groß-Gerau</t>
  </si>
  <si>
    <t>Kelsterbach</t>
  </si>
  <si>
    <t>Mörfelden-Walldorf</t>
  </si>
  <si>
    <t>Nauheim</t>
  </si>
  <si>
    <t>Raunheim</t>
  </si>
  <si>
    <t>Riedstadt</t>
  </si>
  <si>
    <t>Rüsselsheim</t>
  </si>
  <si>
    <t>Trebur</t>
  </si>
  <si>
    <t>Bad Homburg v.d. Höhe</t>
  </si>
  <si>
    <t>Hochtaunuskreis</t>
  </si>
  <si>
    <t>Friedrichsdorf</t>
  </si>
  <si>
    <t>Glashütten</t>
  </si>
  <si>
    <t>Grävenwiesbach</t>
  </si>
  <si>
    <t>Neu-Anspach</t>
  </si>
  <si>
    <t>Schmitten</t>
  </si>
  <si>
    <t>Usingen</t>
  </si>
  <si>
    <t>Wehrheim</t>
  </si>
  <si>
    <t>Weilrod</t>
  </si>
  <si>
    <t>Bad Orb</t>
  </si>
  <si>
    <t xml:space="preserve">Main-Kinzig-Kreis </t>
  </si>
  <si>
    <t>Bad Soden-Salmünster</t>
  </si>
  <si>
    <t>Biebergemünd</t>
  </si>
  <si>
    <t>Birstein</t>
  </si>
  <si>
    <t>Brachttal</t>
  </si>
  <si>
    <t>Bruchköbel</t>
  </si>
  <si>
    <t>Erlensee</t>
  </si>
  <si>
    <t>Flörsbachtal</t>
  </si>
  <si>
    <t>Freigericht</t>
  </si>
  <si>
    <t>Gelnhausen</t>
  </si>
  <si>
    <t>Großkrotzenburg</t>
  </si>
  <si>
    <t>Gründau</t>
  </si>
  <si>
    <t>Hammersbach</t>
  </si>
  <si>
    <t>Hanau</t>
  </si>
  <si>
    <t>Hasselroth</t>
  </si>
  <si>
    <t>Jossgrund</t>
  </si>
  <si>
    <t>Langenselbold</t>
  </si>
  <si>
    <t>Linsengericht</t>
  </si>
  <si>
    <t>Maintal</t>
  </si>
  <si>
    <t>Neuberg</t>
  </si>
  <si>
    <t>Nidderau</t>
  </si>
  <si>
    <t>Niederdorfelden</t>
  </si>
  <si>
    <t>Rodenbach</t>
  </si>
  <si>
    <t>Ronneburg</t>
  </si>
  <si>
    <t>Schlüchtern</t>
  </si>
  <si>
    <t>Schöneck</t>
  </si>
  <si>
    <t>Sinntal-Sterbfritz</t>
  </si>
  <si>
    <t>Steinau an der Straße</t>
  </si>
  <si>
    <t>Wächtersbach</t>
  </si>
  <si>
    <t>Bad Soden am Taunus</t>
  </si>
  <si>
    <t>Eppstein</t>
  </si>
  <si>
    <t>Eschborn</t>
  </si>
  <si>
    <t>Kriftel</t>
  </si>
  <si>
    <t>Bad König</t>
  </si>
  <si>
    <t>Beerfelden</t>
  </si>
  <si>
    <t>Brensbach</t>
  </si>
  <si>
    <t>Breuberg</t>
  </si>
  <si>
    <t>Brombachtal</t>
  </si>
  <si>
    <t>Erbach</t>
  </si>
  <si>
    <t>Fränkisch-Crumbach</t>
  </si>
  <si>
    <t>Hesseneck</t>
  </si>
  <si>
    <t>Höchst i.Odw.</t>
  </si>
  <si>
    <t>Lützelbach</t>
  </si>
  <si>
    <t>Michelstadt</t>
  </si>
  <si>
    <t>Mossautal</t>
  </si>
  <si>
    <t>Rothenberg</t>
  </si>
  <si>
    <t>Sensbachtal</t>
  </si>
  <si>
    <t>Dietzenbach</t>
  </si>
  <si>
    <t>Dreieich</t>
  </si>
  <si>
    <t>Egelsbach</t>
  </si>
  <si>
    <t>Hainburg</t>
  </si>
  <si>
    <t>Heusenstamm</t>
  </si>
  <si>
    <t>Mainhausen</t>
  </si>
  <si>
    <t>Neu-Isenburg</t>
  </si>
  <si>
    <t>Obertshausen</t>
  </si>
  <si>
    <t>Rodgau</t>
  </si>
  <si>
    <t>Rödermark</t>
  </si>
  <si>
    <t>Seligenstadt</t>
  </si>
  <si>
    <t>Aarbergen</t>
  </si>
  <si>
    <t>Bad Schwalbach</t>
  </si>
  <si>
    <t>Geisenheim</t>
  </si>
  <si>
    <t>Heidenrod</t>
  </si>
  <si>
    <t>Hohenstein</t>
  </si>
  <si>
    <t>Hünstetten</t>
  </si>
  <si>
    <t>Idstein</t>
  </si>
  <si>
    <t>Kiedrich</t>
  </si>
  <si>
    <t>Lorch</t>
  </si>
  <si>
    <t>Niedernhausen</t>
  </si>
  <si>
    <t>Oestrich-Winkel</t>
  </si>
  <si>
    <t>Schlangenbad</t>
  </si>
  <si>
    <t>Taunusstein</t>
  </si>
  <si>
    <t>Waldems</t>
  </si>
  <si>
    <t>Walluf</t>
  </si>
  <si>
    <t>Altenstadt</t>
  </si>
  <si>
    <t>Bad Nauheim</t>
  </si>
  <si>
    <t>Bad Vilbel</t>
  </si>
  <si>
    <t>Büdingen</t>
  </si>
  <si>
    <t>Butzbach</t>
  </si>
  <si>
    <t>Echzell</t>
  </si>
  <si>
    <t>Florstadt</t>
  </si>
  <si>
    <t>Gedern</t>
  </si>
  <si>
    <t>Glauburg</t>
  </si>
  <si>
    <t>Hirzenhain</t>
  </si>
  <si>
    <t>Karben</t>
  </si>
  <si>
    <t>Kefenrod</t>
  </si>
  <si>
    <t>Limeshain</t>
  </si>
  <si>
    <t>Münzenberg</t>
  </si>
  <si>
    <t>Nidda</t>
  </si>
  <si>
    <t>Niddatal</t>
  </si>
  <si>
    <t>Ober-Mörlen</t>
  </si>
  <si>
    <t>Ortenberg</t>
  </si>
  <si>
    <t>Ranstadt</t>
  </si>
  <si>
    <t>Rockenberg</t>
  </si>
  <si>
    <t>Rosbach v.d.Höhe</t>
  </si>
  <si>
    <t>Wölfersheim</t>
  </si>
  <si>
    <t>Wöllstadt</t>
  </si>
  <si>
    <t>Allendorf (Lumda)</t>
  </si>
  <si>
    <t>Biebertal</t>
  </si>
  <si>
    <t>Buseck</t>
  </si>
  <si>
    <t>Fernwald</t>
  </si>
  <si>
    <t>Grünberg</t>
  </si>
  <si>
    <t>Heuchelheim</t>
  </si>
  <si>
    <t>Hungen</t>
  </si>
  <si>
    <t>Langgöns</t>
  </si>
  <si>
    <t>Laubach</t>
  </si>
  <si>
    <t>Lich</t>
  </si>
  <si>
    <t>Linden</t>
  </si>
  <si>
    <t>Lollar</t>
  </si>
  <si>
    <t>Pohlheim</t>
  </si>
  <si>
    <t>Rabenau</t>
  </si>
  <si>
    <t>Reiskirchen</t>
  </si>
  <si>
    <t>Staufenberg</t>
  </si>
  <si>
    <t>Wettenberg</t>
  </si>
  <si>
    <t>Aßlar</t>
  </si>
  <si>
    <t>Bischoffen</t>
  </si>
  <si>
    <t>Braunfels</t>
  </si>
  <si>
    <t>Breitscheid</t>
  </si>
  <si>
    <t>Dietzhölztal</t>
  </si>
  <si>
    <t>Dillenburg</t>
  </si>
  <si>
    <t>Driedorf</t>
  </si>
  <si>
    <t>Ehringshausen</t>
  </si>
  <si>
    <t>Eschenburg</t>
  </si>
  <si>
    <t>Greifenstein</t>
  </si>
  <si>
    <t>Haiger</t>
  </si>
  <si>
    <t>Herborn</t>
  </si>
  <si>
    <t>Hohenahr</t>
  </si>
  <si>
    <t>Hüttenberg</t>
  </si>
  <si>
    <t>Lahnau</t>
  </si>
  <si>
    <t>Leun</t>
  </si>
  <si>
    <t>Mittenaar</t>
  </si>
  <si>
    <t>Schöffengrund</t>
  </si>
  <si>
    <t>Siegbach</t>
  </si>
  <si>
    <t>Sinn</t>
  </si>
  <si>
    <t>Solms</t>
  </si>
  <si>
    <t>Waldsolms</t>
  </si>
  <si>
    <t>Wetzlar</t>
  </si>
  <si>
    <t>Beselich</t>
  </si>
  <si>
    <t>Brechen</t>
  </si>
  <si>
    <t>Bad Camberg</t>
  </si>
  <si>
    <t>Dornburg</t>
  </si>
  <si>
    <t>Elbtal</t>
  </si>
  <si>
    <t>Elz</t>
  </si>
  <si>
    <t>Hadamar</t>
  </si>
  <si>
    <t>Hünfelden</t>
  </si>
  <si>
    <t>Löhnberg</t>
  </si>
  <si>
    <t>Mengerskirchen</t>
  </si>
  <si>
    <t>Merenberg</t>
  </si>
  <si>
    <t>Runkel</t>
  </si>
  <si>
    <t>Villmar</t>
  </si>
  <si>
    <t>Weilburg</t>
  </si>
  <si>
    <t>Weilmünster</t>
  </si>
  <si>
    <t>Weinbach</t>
  </si>
  <si>
    <t>Amöneburg</t>
  </si>
  <si>
    <t>Angelburg</t>
  </si>
  <si>
    <t>Bad Endbach</t>
  </si>
  <si>
    <t>Biedenkopf</t>
  </si>
  <si>
    <t>Breidenbach</t>
  </si>
  <si>
    <t>Cölbe</t>
  </si>
  <si>
    <t>Dautphetal</t>
  </si>
  <si>
    <t>Ebsdorfergrund</t>
  </si>
  <si>
    <t>Fronhausen</t>
  </si>
  <si>
    <t>Gladenbach</t>
  </si>
  <si>
    <t>Kirchhain</t>
  </si>
  <si>
    <t>Lahntal</t>
  </si>
  <si>
    <t>Lohra</t>
  </si>
  <si>
    <t>Marburg</t>
  </si>
  <si>
    <t>Münchhausen</t>
  </si>
  <si>
    <t>Rauschenberg</t>
  </si>
  <si>
    <t>Stadtallendorf</t>
  </si>
  <si>
    <t>Steffenberg</t>
  </si>
  <si>
    <t>Wohratal</t>
  </si>
  <si>
    <t>Alsfeld</t>
  </si>
  <si>
    <t>Antrifttal</t>
  </si>
  <si>
    <t>Feldatal</t>
  </si>
  <si>
    <t>Freiensteinau</t>
  </si>
  <si>
    <t>Grebenau</t>
  </si>
  <si>
    <t>Grebenhain</t>
  </si>
  <si>
    <t>Herbstein</t>
  </si>
  <si>
    <t>Homberg (Ohm)</t>
  </si>
  <si>
    <t>Kirtorf</t>
  </si>
  <si>
    <t>Mücke</t>
  </si>
  <si>
    <t>Romrod</t>
  </si>
  <si>
    <t>Schlitz</t>
  </si>
  <si>
    <t>Schotten</t>
  </si>
  <si>
    <t>Schwalmtal</t>
  </si>
  <si>
    <t>Ulrichstein</t>
  </si>
  <si>
    <t>Wartenberg</t>
  </si>
  <si>
    <t xml:space="preserve">Bad Salzschlirf </t>
  </si>
  <si>
    <t>Burghaun</t>
  </si>
  <si>
    <t>Dipperz</t>
  </si>
  <si>
    <t>Ebersburg</t>
  </si>
  <si>
    <t>Ehrenberg (Rhön)</t>
  </si>
  <si>
    <t>Eichenzell</t>
  </si>
  <si>
    <t>Eiterfeld</t>
  </si>
  <si>
    <t>Flieden</t>
  </si>
  <si>
    <t>Großenlüder</t>
  </si>
  <si>
    <t>Hilders</t>
  </si>
  <si>
    <t xml:space="preserve">Hofbieber </t>
  </si>
  <si>
    <t>Hosenfeld</t>
  </si>
  <si>
    <t>Hünfeld</t>
  </si>
  <si>
    <t>Kalbach</t>
  </si>
  <si>
    <t>Künzell</t>
  </si>
  <si>
    <t>Neuhof</t>
  </si>
  <si>
    <t>Nüsttal</t>
  </si>
  <si>
    <t>Petersberg</t>
  </si>
  <si>
    <t>Rasdorf</t>
  </si>
  <si>
    <t>Alheim</t>
  </si>
  <si>
    <t xml:space="preserve">Hersfeld-Rotenburg </t>
  </si>
  <si>
    <t>Bad Hersfeld</t>
  </si>
  <si>
    <t>Bebra</t>
  </si>
  <si>
    <t>Breitenbach a. Herzberg</t>
  </si>
  <si>
    <t>Cornberg</t>
  </si>
  <si>
    <t>Friedewald</t>
  </si>
  <si>
    <t>Hauneck</t>
  </si>
  <si>
    <t>Haunetal</t>
  </si>
  <si>
    <t>Heringen (Werra)</t>
  </si>
  <si>
    <t>Hohenroda</t>
  </si>
  <si>
    <t>Kirchheim</t>
  </si>
  <si>
    <t>Ludwigsau</t>
  </si>
  <si>
    <t>Nentershausen</t>
  </si>
  <si>
    <t>Neuenstein</t>
  </si>
  <si>
    <t>Niederaula</t>
  </si>
  <si>
    <t>Ronshausen</t>
  </si>
  <si>
    <t>Rotenburg a.d. Fulda</t>
  </si>
  <si>
    <t>Schenklengsfeld</t>
  </si>
  <si>
    <t>Wildeck</t>
  </si>
  <si>
    <t>Ahnatal</t>
  </si>
  <si>
    <t>Bad Karlshafen</t>
  </si>
  <si>
    <t>Baunatal</t>
  </si>
  <si>
    <t>Breuna</t>
  </si>
  <si>
    <t>Calden</t>
  </si>
  <si>
    <t>Bad Emstal</t>
  </si>
  <si>
    <t>Espenau</t>
  </si>
  <si>
    <t>Fuldabrück</t>
  </si>
  <si>
    <t>Fuldatal</t>
  </si>
  <si>
    <t>Grebenstein</t>
  </si>
  <si>
    <t>Habichtswald</t>
  </si>
  <si>
    <t>Helsa</t>
  </si>
  <si>
    <t>Hofgeismar</t>
  </si>
  <si>
    <t>Immenhausen</t>
  </si>
  <si>
    <t>Kaufungen</t>
  </si>
  <si>
    <t>Liebenau</t>
  </si>
  <si>
    <t>Lohfelden</t>
  </si>
  <si>
    <t>Naumburg</t>
  </si>
  <si>
    <t>Nieste</t>
  </si>
  <si>
    <t>Niestetal</t>
  </si>
  <si>
    <t>Oberweser</t>
  </si>
  <si>
    <t>Reinhardshagen</t>
  </si>
  <si>
    <t>Schauenburg</t>
  </si>
  <si>
    <t>Söhrewald</t>
  </si>
  <si>
    <t>Trendelburg</t>
  </si>
  <si>
    <t>Vellmar</t>
  </si>
  <si>
    <t>Wahlsburg</t>
  </si>
  <si>
    <t>Wolfhagen</t>
  </si>
  <si>
    <t>Zierenberg</t>
  </si>
  <si>
    <t>Borken (Hessen)</t>
  </si>
  <si>
    <t>Edermünde</t>
  </si>
  <si>
    <t>Felsberg</t>
  </si>
  <si>
    <t>Frielendorf</t>
  </si>
  <si>
    <t>Gilserberg</t>
  </si>
  <si>
    <t>Gudensberg</t>
  </si>
  <si>
    <t>Guxhagen</t>
  </si>
  <si>
    <t>Homberg (Efze)</t>
  </si>
  <si>
    <t>Jesberg</t>
  </si>
  <si>
    <t>Knüllwald</t>
  </si>
  <si>
    <t>Körle</t>
  </si>
  <si>
    <t>Malsfeld</t>
  </si>
  <si>
    <t>Melsungen</t>
  </si>
  <si>
    <t>Morschen</t>
  </si>
  <si>
    <t>Neuental</t>
  </si>
  <si>
    <t>Neukirchen</t>
  </si>
  <si>
    <t>Niedenstein</t>
  </si>
  <si>
    <t>Oberaula</t>
  </si>
  <si>
    <t>Ottrau</t>
  </si>
  <si>
    <t>Schrecksbach</t>
  </si>
  <si>
    <t>Schwalmstadt</t>
  </si>
  <si>
    <t>Schwarzenborn</t>
  </si>
  <si>
    <t>Spangenberg</t>
  </si>
  <si>
    <t>Wabern</t>
  </si>
  <si>
    <t>Willingshausen</t>
  </si>
  <si>
    <t>Bad Zwesten</t>
  </si>
  <si>
    <t>Allendorf (Eder)</t>
  </si>
  <si>
    <t>Bad Arolsen</t>
  </si>
  <si>
    <t>Bad Wildungen</t>
  </si>
  <si>
    <t>Battenberg (Eder)</t>
  </si>
  <si>
    <t>Bromskirchen</t>
  </si>
  <si>
    <t>Burgwald</t>
  </si>
  <si>
    <t>Diemelsee</t>
  </si>
  <si>
    <t>Diemelstadt</t>
  </si>
  <si>
    <t>Edertal</t>
  </si>
  <si>
    <t>Frankenau</t>
  </si>
  <si>
    <t>Frankenberg (Eder)</t>
  </si>
  <si>
    <t>Gemünden (Wohra)</t>
  </si>
  <si>
    <t>Haina (Kloster)</t>
  </si>
  <si>
    <t>Hatzfeld (Eder)</t>
  </si>
  <si>
    <t>Korbach</t>
  </si>
  <si>
    <t>Lichtenfels</t>
  </si>
  <si>
    <t>Rosenthal</t>
  </si>
  <si>
    <t>Twistetal</t>
  </si>
  <si>
    <t>Vöhl</t>
  </si>
  <si>
    <t>Volkmarsen</t>
  </si>
  <si>
    <t>Waldeck</t>
  </si>
  <si>
    <t>Willingen (Upland)</t>
  </si>
  <si>
    <t>Bad Sooden-Allendorf</t>
  </si>
  <si>
    <t>Berkatal</t>
  </si>
  <si>
    <t>Eschwege</t>
  </si>
  <si>
    <t>Großalmerode</t>
  </si>
  <si>
    <t>Herleshausen</t>
  </si>
  <si>
    <t>Hessisch Lichtenau</t>
  </si>
  <si>
    <t>Meinhard-Grebendorf</t>
  </si>
  <si>
    <t>Meißner</t>
  </si>
  <si>
    <t>Neu-Eichenberg</t>
  </si>
  <si>
    <t>Ringgau</t>
  </si>
  <si>
    <t>Sontra</t>
  </si>
  <si>
    <t>Waldkappel</t>
  </si>
  <si>
    <t>Wanfried</t>
  </si>
  <si>
    <t>Wehretal</t>
  </si>
  <si>
    <t>Weißenborn</t>
  </si>
  <si>
    <t>Witzenhausen</t>
  </si>
  <si>
    <t>Main-Taunus-Kreises</t>
  </si>
  <si>
    <t xml:space="preserve">Gießen </t>
  </si>
  <si>
    <t>Landkeis Limburg-Weilburg</t>
  </si>
  <si>
    <t>Fritzlar</t>
  </si>
  <si>
    <t>Poppenhausen</t>
  </si>
  <si>
    <t xml:space="preserve">Lauterbach </t>
  </si>
  <si>
    <t xml:space="preserve">Lautertal </t>
  </si>
  <si>
    <t xml:space="preserve">Gemünden </t>
  </si>
  <si>
    <t xml:space="preserve">Neustadt </t>
  </si>
  <si>
    <t>Weimar</t>
  </si>
  <si>
    <t>Wetter</t>
  </si>
  <si>
    <t>Waldbrunn</t>
  </si>
  <si>
    <t>Limburg</t>
  </si>
  <si>
    <t>Reichelsheim</t>
  </si>
  <si>
    <t xml:space="preserve">Friedberg </t>
  </si>
  <si>
    <t>Rüdesheim</t>
  </si>
  <si>
    <t xml:space="preserve">Mühlheim </t>
  </si>
  <si>
    <t xml:space="preserve">Reichelsheim </t>
  </si>
  <si>
    <t xml:space="preserve">Sulzbach </t>
  </si>
  <si>
    <t xml:space="preserve">Schwalbach </t>
  </si>
  <si>
    <t xml:space="preserve">Liederbach </t>
  </si>
  <si>
    <t xml:space="preserve">Heppenheim </t>
  </si>
  <si>
    <t xml:space="preserve">Hirschhorn </t>
  </si>
  <si>
    <t xml:space="preserve">Stockstadt </t>
  </si>
  <si>
    <t xml:space="preserve">Königstein </t>
  </si>
  <si>
    <t xml:space="preserve">Kronberg </t>
  </si>
  <si>
    <t xml:space="preserve">Oberursel </t>
  </si>
  <si>
    <t>Steinbach</t>
  </si>
  <si>
    <t>Flörsheim</t>
  </si>
  <si>
    <t>Hattersheim</t>
  </si>
  <si>
    <t>Hochheim</t>
  </si>
  <si>
    <t xml:space="preserve">Hofheim </t>
  </si>
  <si>
    <t xml:space="preserve">Kelkheim </t>
  </si>
  <si>
    <t xml:space="preserve">Langen </t>
  </si>
  <si>
    <t xml:space="preserve">Eltville </t>
  </si>
  <si>
    <t xml:space="preserve">Selters </t>
  </si>
  <si>
    <t>Gersfeld</t>
  </si>
  <si>
    <t xml:space="preserve">Tann </t>
  </si>
  <si>
    <t>Philippsthal</t>
  </si>
  <si>
    <t>Schlüsselnummer:</t>
  </si>
  <si>
    <t>Status Jahresabschluss (Bitte auswählen)</t>
  </si>
  <si>
    <t>Begründung der Einschätzung und Ausführungen zu Auflagen (Textfeld bitte mit Doppelklick öffnen)</t>
  </si>
  <si>
    <t xml:space="preserve">     Hundesteuer</t>
  </si>
  <si>
    <t xml:space="preserve">     Gaststättenerlaubnissteuer</t>
  </si>
  <si>
    <t xml:space="preserve">   Schlüsselnummer:</t>
  </si>
  <si>
    <t>nein</t>
  </si>
  <si>
    <t>ja</t>
  </si>
  <si>
    <t xml:space="preserve">Bitte auswählen </t>
  </si>
  <si>
    <t>Verbindlichkeiten aus Krediten nach Abschluss des Vorjahres - Kernhaushalt -</t>
  </si>
  <si>
    <t>Verbindlichkeiten aus Krediten nach Abschluss des Vorjahres - Eigenbetriebe und Anstalten des öffentlichen Rechts nach HGO -</t>
  </si>
  <si>
    <t>Vomhundertsätze erhobener Umlagen (Landkreis / LWV / Land Hessen)</t>
  </si>
  <si>
    <t xml:space="preserve">Voraussichtlicher Stand der Kredite am Ende des Haushaltsjahres - Kernverwaltung - </t>
  </si>
  <si>
    <t>Weitere Umlagen (z.B. Regionalverband):</t>
  </si>
  <si>
    <t>Hinweise der Gemeinde zur aktuellen Haushaltslage (optional)</t>
  </si>
  <si>
    <r>
      <rPr>
        <b/>
        <sz val="12"/>
        <rFont val="AvenirNext LT Com Regular"/>
        <family val="2"/>
      </rPr>
      <t>davon</t>
    </r>
    <r>
      <rPr>
        <sz val="12"/>
        <rFont val="AvenirNext LT Com Regular"/>
        <family val="2"/>
      </rPr>
      <t xml:space="preserve"> Einzahlungen aus der Tilgung von gewährten Krediten</t>
    </r>
  </si>
  <si>
    <r>
      <rPr>
        <b/>
        <sz val="12"/>
        <rFont val="AvenirNext LT Com Regular"/>
        <family val="2"/>
      </rPr>
      <t>davon</t>
    </r>
    <r>
      <rPr>
        <sz val="12"/>
        <rFont val="AvenirNext LT Com Regular"/>
        <family val="2"/>
      </rPr>
      <t xml:space="preserve"> Auszahlungen aus der Gewährung von Krediten</t>
    </r>
  </si>
  <si>
    <r>
      <rPr>
        <b/>
        <sz val="12"/>
        <rFont val="AvenirNext LT Com Regular"/>
        <family val="2"/>
      </rPr>
      <t>davon</t>
    </r>
    <r>
      <rPr>
        <sz val="12"/>
        <rFont val="AvenirNext LT Com Regular"/>
        <family val="2"/>
      </rPr>
      <t xml:space="preserve"> Einzahlungen aus der Aufnahme von Umschuldungen</t>
    </r>
  </si>
  <si>
    <t>Saldo &gt; 5 € = 1</t>
  </si>
  <si>
    <t>Verbindlichkeiten aus Liquiditätskrediten nach Abschluss des Vorjahres - Kernhaushalt -</t>
  </si>
  <si>
    <t>Verbindlichkeiten gegenüber dem Sondervermögen Hessenkasse</t>
  </si>
  <si>
    <t>Fehlbeträge aus Vorjahren (Bilanzwert der letzten aufgestellten Bilanz)</t>
  </si>
  <si>
    <t>Zahlungsmittelfluss lfd. Verwaltungstätigkeit
abzüglich der Tilgung sowie der Zahlungen an das Sondervermögen Hessenkasse</t>
  </si>
  <si>
    <t xml:space="preserve">Verbindlichkeiten aus Liquidtitätskrediten (Kommune plus Sondervermögen) </t>
  </si>
  <si>
    <t>kein Bestandswert  = 1</t>
  </si>
  <si>
    <t>Ausweis eines Fehlbetragbestands = 0</t>
  </si>
  <si>
    <t>Bestand der Liquiditätsreserve</t>
  </si>
  <si>
    <t>Bestand vollständig gebildet = 1</t>
  </si>
  <si>
    <t>Bestand unzureichend oder nicht gebildet (&lt; 50 %) = 0</t>
  </si>
  <si>
    <t>Anzugeben ist der Gesamtbetrag der Verbindlichkeiten gegenüber dem Sondervermögen Hessenkasse</t>
  </si>
  <si>
    <t>Höchstbetrag der Liquiditätskredite Kernhaushalt laut Haushaltssatzung</t>
  </si>
  <si>
    <t>Höchstbetrag der Liquiditätskredite der Eigenbetriebe und Anstalten des öffentlichen Rechts</t>
  </si>
  <si>
    <t xml:space="preserve">Voraussichtlicher Stand der Liquiditätskredite zum Ende des Haushaltsjahres - Kernverwaltung - </t>
  </si>
  <si>
    <t>Voraussichtlicher Stand der Liquiditätskredite zum Ende des Haushaltsjahres - Eigenbetriebe und Anstalten des öffentlichen Rechts nach HGO -</t>
  </si>
  <si>
    <t xml:space="preserve">Voraussichtlicher Stand der Liquiditätskredite zum Ende des Haushaltsjahres - Kernverwaltung und Eigenbetriebe und Anstalten des öffentlichen Rechts nach HGO - </t>
  </si>
  <si>
    <t>Verbindlichkeiten gegenüber dem Sondervermögen Hessenkasse nach Abschluss des Vorjahres</t>
  </si>
  <si>
    <t>Verbindlichkeiten aus Liquiditätskrediten nach Abschluss des Vorjahres - Eigenbetriebe und Anstalten des öffentlichen Rechts nach HGO -</t>
  </si>
  <si>
    <t>Voraussichtlicher Stand der Verbindlichkeigten gegenüber dem Sondervermögen Hessenkasse zum Ende des Haushaltsjahres</t>
  </si>
  <si>
    <t>Gesamtbetrag aus Krediten, Liquiditätskrediten sowie Verbindlichkeiten gegenüber dem Sondervermögen Hessenkasse - Kernhaushalt und Eigenbetriebe und Anstalten des öffentlichen Rechts nach HGO</t>
  </si>
  <si>
    <t>Auszahlungen an das Sondervermögen Hessenkasse</t>
  </si>
  <si>
    <r>
      <rPr>
        <b/>
        <sz val="12"/>
        <rFont val="AvenirNext LT Com Regular"/>
      </rPr>
      <t xml:space="preserve">Pos. 4: davon </t>
    </r>
    <r>
      <rPr>
        <sz val="12"/>
        <rFont val="AvenirNext LT Com Regular"/>
        <family val="2"/>
      </rPr>
      <t>aus Schlüsselzuweisungen</t>
    </r>
  </si>
  <si>
    <t>Auszahlungen für die Tilgung von Krediten und wirtschaftlich vergleichbaren Vorgängen für Investitionen sowie an das Sondervermögen Hessenkasse</t>
  </si>
  <si>
    <r>
      <rPr>
        <b/>
        <sz val="12"/>
        <color indexed="8"/>
        <rFont val="AvenirNext LT Com Regular"/>
        <family val="2"/>
      </rPr>
      <t>davon</t>
    </r>
    <r>
      <rPr>
        <sz val="12"/>
        <color indexed="8"/>
        <rFont val="AvenirNext LT Com Regular"/>
        <family val="2"/>
      </rPr>
      <t xml:space="preserve"> Aufnahme von Liquiditätskrediten</t>
    </r>
  </si>
  <si>
    <r>
      <rPr>
        <b/>
        <sz val="12"/>
        <color indexed="8"/>
        <rFont val="AvenirNext LT Com Regular"/>
        <family val="2"/>
      </rPr>
      <t>davon</t>
    </r>
    <r>
      <rPr>
        <sz val="12"/>
        <color indexed="8"/>
        <rFont val="AvenirNext LT Com Regular"/>
        <family val="2"/>
      </rPr>
      <t xml:space="preserve"> Rückzahlung von Liquiditätskrediten</t>
    </r>
  </si>
  <si>
    <t>Ordentliche Fehlbeträge aus Vorjahren (Bilanzwert der letzten aufgestellten Bilanz)</t>
  </si>
  <si>
    <t>Ordentliche Fehlbeträge aus Vorjahren</t>
  </si>
  <si>
    <t xml:space="preserve">Es ist für das Haushaltsjahr der nach § 106 Abs. 1 S. 2 HGO zur Sicherstellung der Zahlungsfähigkeit vorzuhaltende Mindestbetrag von 2 v.H. der Summe der Auszahlungen aus laufender Verwaltungstätigkeit nach dem Durchschnitt der drei dem Haushaltsjahr vorangehenden Jahre anzugeben. </t>
  </si>
  <si>
    <t xml:space="preserve">Es ist für das Haushaltsjahr die Höhe der tatsächlich vorhandenen Liquiditätsreserve  anzugeben. </t>
  </si>
  <si>
    <t>5.1</t>
  </si>
  <si>
    <t>5.2</t>
  </si>
  <si>
    <t>7.</t>
  </si>
  <si>
    <t>Anzugeben ist der (ggf. voraussichtliche) Gesamtbetrag an Verbindlichkeiten aus Investitionskrediten</t>
  </si>
  <si>
    <t>Anzugeben ist der (ggf. voraussichtliche) Gesamtbetrag an Verbindlichkeiten aus Liquiditätskrediten</t>
  </si>
  <si>
    <t>Gesamtbetrag aus Krediten und Liquiditätskrediten  - Kernhaushalt und Eigenbetriebe und Anstalten des öffentlichen Rechts nach HGO</t>
  </si>
  <si>
    <t>8.</t>
  </si>
  <si>
    <t>8.1</t>
  </si>
  <si>
    <t>8.2</t>
  </si>
  <si>
    <t xml:space="preserve">Die Höhe der Verbindlichkeiten aus Liquiditätskrediten wird automatisch aus dem Blatt "Verbindlichkeiten" übernommen.  </t>
  </si>
  <si>
    <t xml:space="preserve">Die Höhe der Verbindlichkeiten wird automatisch aus dem Blatt "Verbindlichkeiten" übernommen.  </t>
  </si>
  <si>
    <t xml:space="preserve">Die Höhe der ordentlichen Tilgung wird automatisch aus dem Blatt "Finanzhaushalt" übernommen.  </t>
  </si>
  <si>
    <t>8.3</t>
  </si>
  <si>
    <t>16.1</t>
  </si>
  <si>
    <t>16.2</t>
  </si>
  <si>
    <t>16.3</t>
  </si>
  <si>
    <t>Die ordentliche Tilgung wird automatisch aus dem Blatt Finanzhaushalt - Pos. 16.1 - übernommen.</t>
  </si>
  <si>
    <t>Die Zahlungen an das Sondervermögen Hessenkasse werden automatisch aus dem Blatt Finanzhaushalt - Pos. 16.3 - übernommen.</t>
  </si>
  <si>
    <t>Geplante zu erwirtschaftende Differenz aus Zahlungsmittelfluss aus laufender Verwaltungstätigkeit und ordentlicher Tilgung sowie der Zahlungen an das Sondervermögen Hessenkasse</t>
  </si>
  <si>
    <t>8.4</t>
  </si>
  <si>
    <t xml:space="preserve">Der Betrag wird automatisch aus dem Blatt "Finanzhaushalt - 4.2 " übernommen.  </t>
  </si>
  <si>
    <t xml:space="preserve">Diese Angabe wird rechnerisch aus dem Zahlungsmittelfluss aus laufender Verwaltungstätigkeit abzüglich der ordentlichen Tilgung sowie der Zahlungen an das Sondervermögen Hessenkasse und zuzüglich der zweckgebundenen Einzahlungen für die ordentliche Tilgung sowie der Zahlungen an das Sondervermögen Hessenkasse ermittelt. </t>
  </si>
  <si>
    <t>Oberzent</t>
  </si>
  <si>
    <t xml:space="preserve">Die Höhe der Zahlungen an das Sondervermögen Hessenkasse wird automatisch aus dem Blatt "Finanzhaushalt" übernommen.  </t>
  </si>
  <si>
    <t>Es ist das Haushaltsjahr der letzten aufgestellten Vermögensrechnung anzugeben.</t>
  </si>
  <si>
    <t>Es ist die Höhe des Eigenkapitals (§ 49 Abs. 4 Nr. 1 GemHVO) aus der letzten aufgestellten Vermögensrechnung anzugeben.</t>
  </si>
  <si>
    <t>kein Bestand (= 0 €) = 1</t>
  </si>
  <si>
    <t>Bestand (&gt; 0 €) = 0</t>
  </si>
  <si>
    <t>Angaben zur letzten aufgestellten Vermögensrechnung</t>
  </si>
  <si>
    <t>Haushaltsjahr der letzten aufgestellten Vermögensrechnung</t>
  </si>
  <si>
    <r>
      <t xml:space="preserve">Pos. 16: davon </t>
    </r>
    <r>
      <rPr>
        <sz val="12"/>
        <rFont val="AvenirNext LT Com Regular"/>
        <family val="2"/>
      </rPr>
      <t>Auszahlungen für die ordentliche Tilgung von Krediten</t>
    </r>
  </si>
  <si>
    <r>
      <t>Pos. 16: davon</t>
    </r>
    <r>
      <rPr>
        <sz val="12"/>
        <rFont val="AvenirNext LT Com Regular"/>
        <family val="2"/>
      </rPr>
      <t xml:space="preserve"> Auszahlungen aus der Tilgung von Umschuldungen</t>
    </r>
  </si>
  <si>
    <r>
      <t>Pos. 16: davon</t>
    </r>
    <r>
      <rPr>
        <sz val="12"/>
        <rFont val="AvenirNext LT Com Regular"/>
        <family val="2"/>
      </rPr>
      <t xml:space="preserve"> Auszahlungen an das Sondervermögen Hessenkasse</t>
    </r>
  </si>
  <si>
    <t>höchste Inanspruchnahme</t>
  </si>
  <si>
    <t>Höchstbetrag Liquiditätskredite</t>
  </si>
  <si>
    <t>nachrichtlich:</t>
  </si>
  <si>
    <t>Vorgaben des § 106 Abs. 1 HGO erfüllt</t>
  </si>
  <si>
    <t>wird von oben übernommen</t>
  </si>
  <si>
    <t>voraussichtlicher Zahlungsmittelbestand zum 1.1. des Haushaltsjahres</t>
  </si>
  <si>
    <t>davon 2 v. H. als Liquiditätsreserve</t>
  </si>
  <si>
    <t>Durchschnitt</t>
  </si>
  <si>
    <t>Summe</t>
  </si>
  <si>
    <t>bitte als positiven Betrag eintragen</t>
  </si>
  <si>
    <t>3. Vorjahr</t>
  </si>
  <si>
    <t>Vorvorjahr</t>
  </si>
  <si>
    <t>Planzahl</t>
  </si>
  <si>
    <t>Vorjahr</t>
  </si>
  <si>
    <t>Auszahlungen laufende Verwaltungstätigkeit</t>
  </si>
  <si>
    <t>Berechnung Liquiditätsreserve gem. § 106 Abs. 1 HGO</t>
  </si>
  <si>
    <t>4. Betrachtung der Liquiditätsreserve</t>
  </si>
  <si>
    <t>vorgesehene Auszahlungen für Investitionen</t>
  </si>
  <si>
    <t>Beitrag zur Hessenkasse</t>
  </si>
  <si>
    <t>verbleibender Saldo</t>
  </si>
  <si>
    <t>Tilgung bitte als positiven Betrag eintragen</t>
  </si>
  <si>
    <t>vorgesehene belastende Tilgung (Tilgungszuschüsse im Rahmen von Sonderprogrammen sind zu berücksichtigen)</t>
  </si>
  <si>
    <t>Saldo lfd. VwT gem Haushaltssatzung</t>
  </si>
  <si>
    <t xml:space="preserve">3. Betrachtung der Kredittilgungen und Zwischenfinanzierung von Investitionen des Haushaltsjahres </t>
  </si>
  <si>
    <t>Verbleibender Liquiditätskreditbestand aus Vorjahren</t>
  </si>
  <si>
    <t>Zwischenfinanzierung von öffentlich-rechtlichen Forderungen (nachrichtliche Angabe, da die Auszahlungen oben bei der laufenden Verwaltungstätigkeit berücksichtigt sind)</t>
  </si>
  <si>
    <t>Kreditermächtigung nach § 103 erloschen, neue Finanzierung notwendig</t>
  </si>
  <si>
    <t xml:space="preserve">vor </t>
  </si>
  <si>
    <t>Zwischenfinanzierung Investitionen</t>
  </si>
  <si>
    <t>Kreditermächtigung erlischt nach 103 Abs. 3 mit Inkrafttreten der Haushalts-
satzung des aktuellen Haushaltsjahres</t>
  </si>
  <si>
    <t>Kreditermächtigung wird in Anspruch genommen am:</t>
  </si>
  <si>
    <t>davon für</t>
  </si>
  <si>
    <t>wird von oben stehender Berechnung übernommen</t>
  </si>
  <si>
    <t>31.12.</t>
  </si>
  <si>
    <t>Liquiditätskreditbestand zum</t>
  </si>
  <si>
    <t>2. nachrichtliche Betrachtung Liquiditätskreditstand aus Vorjahren - Zwischenfinanzierungen</t>
  </si>
  <si>
    <t>höchster monatsbezogner Liquiditätskreditbedarf</t>
  </si>
  <si>
    <t>höchster monatsbezogener Zahlungsmittelbedarf</t>
  </si>
  <si>
    <t>Werte gemäß Haushaltsplan</t>
  </si>
  <si>
    <t>Dezember</t>
  </si>
  <si>
    <t>November</t>
  </si>
  <si>
    <t>Oktober</t>
  </si>
  <si>
    <t>September</t>
  </si>
  <si>
    <t>August</t>
  </si>
  <si>
    <t>Juli</t>
  </si>
  <si>
    <t>Juni</t>
  </si>
  <si>
    <t>Mai</t>
  </si>
  <si>
    <t>April</t>
  </si>
  <si>
    <t>März</t>
  </si>
  <si>
    <t>Vormonat zzgl. Saldo/Monat</t>
  </si>
  <si>
    <t xml:space="preserve">Februar </t>
  </si>
  <si>
    <t>Differenz (Zahlungsmittelbestand-Liquiditätskreditbestand) zzgl Saldo/Monat</t>
  </si>
  <si>
    <t xml:space="preserve">Januar </t>
  </si>
  <si>
    <t>Bestand an Liquiditätskrediten zum 31.12. des Vorjahres</t>
  </si>
  <si>
    <t>Zahlungsmittelbestand zum 31.12. des Vorjahres</t>
  </si>
  <si>
    <t>Liquiditätsbedarf zum Monatsende unter Berücksichtigung vorhandener Liquidität und Liquiditätskrediten</t>
  </si>
  <si>
    <t xml:space="preserve">Saldo/Monat </t>
  </si>
  <si>
    <t xml:space="preserve">Auszahlungen </t>
  </si>
  <si>
    <t xml:space="preserve">Einzahlungen </t>
  </si>
  <si>
    <t>Zusätzliche Parameter</t>
  </si>
  <si>
    <t>Monate</t>
  </si>
  <si>
    <t>Gemäß Haushaltssatzung vorgesehener Höchstbetrag Liquiditätskredite</t>
  </si>
  <si>
    <t xml:space="preserve">Liquiditätsplanung für das Haushaltsjahr </t>
  </si>
  <si>
    <t>Einzahlungen und Auszahlungen beziehen sich nur auf die laufende Verwaltungstätigkeit</t>
  </si>
  <si>
    <t>1.) Betrachtung laufende Verwaltungstätigkeit des Haushaltsjahres</t>
  </si>
  <si>
    <t xml:space="preserve">Zahlungsmittelbestand, Liquiditätskreditbestand, Einzahlungen und Auszahlungen bitte als positiven Wert  eintragen </t>
  </si>
  <si>
    <t xml:space="preserve">Eintragungen bitte nur in den blau hinterlegten Feldern und in Euro vornehmen </t>
  </si>
  <si>
    <t>Wesertal</t>
  </si>
  <si>
    <t>Es ist der (ggf. voraussichtliche) Bestand der Rücklage aus Überschüssen des ordentlichen Ergebnisses zum Ende des Haushaltsvorvorjahres (Abschlussjahr) anzugeben.</t>
  </si>
  <si>
    <t xml:space="preserve">Es ist für das Haushaltsvorvorjahr der nach § 106 Abs. 1 S. 2 HGO zur Sicherstellung der Zahlungsfähigkeit vorzuhaltende Mindestbetrag von 2 v.H. der Summe der Auszahlungen aus laufender Verwaltungstätigkeit nach dem Durchschnitt der drei dem Haushaltsjahr vorangehenden Jahre anzugeben. </t>
  </si>
  <si>
    <t xml:space="preserve">Es ist für das Abschlussjahr die Höhe der tatsächlich vorhandenen Liquiditätsreserve  anzugeben. </t>
  </si>
  <si>
    <t>Es ist die Höhe des Eigenkapitals (§ 49 Abs. 4 Nr. 1 GemHVO) aus der aufgestellten Vermögensrechnung anzugeben.</t>
  </si>
  <si>
    <t>Es ist die Höhe der Verbindlichkeiten aus Liquiditätskrediten anzugeben</t>
  </si>
  <si>
    <t>Es ist die Höhe der Verbindlichkeiten gegenüber dem Sondervermögen Hessenkasse anzugeben</t>
  </si>
  <si>
    <t>Erwirtschaftete Differenz aus Zahlungsmittelfluss aus laufender Verwaltungstätigkeit und ordentlicher Tilgung sowie der Zahlungen an das Sondervermögen Hessenkasse</t>
  </si>
  <si>
    <t>Summe und Status nach Abschlusswert</t>
  </si>
  <si>
    <t>Summe und Status nach Planwert</t>
  </si>
  <si>
    <t>Sonstige Aufwendungen</t>
  </si>
  <si>
    <r>
      <rPr>
        <sz val="10"/>
        <rFont val="AvenirNext LT Com Regular"/>
      </rPr>
      <t>Krankenhausumlage</t>
    </r>
    <r>
      <rPr>
        <b/>
        <sz val="10"/>
        <rFont val="AvenirNext LT Com Regular"/>
        <family val="2"/>
      </rPr>
      <t xml:space="preserve"> </t>
    </r>
    <r>
      <rPr>
        <sz val="10"/>
        <rFont val="AvenirNext LT Com Regular"/>
        <family val="2"/>
      </rPr>
      <t>(Produktgruppe 0701)</t>
    </r>
  </si>
  <si>
    <r>
      <rPr>
        <sz val="10"/>
        <rFont val="AvenirNext LT Com Regular"/>
      </rPr>
      <t>Kreisumlage</t>
    </r>
    <r>
      <rPr>
        <b/>
        <sz val="10"/>
        <rFont val="AvenirNext LT Com Regular"/>
        <family val="2"/>
      </rPr>
      <t xml:space="preserve"> </t>
    </r>
    <r>
      <rPr>
        <sz val="10"/>
        <rFont val="AvenirNext LT Com Regular"/>
        <family val="2"/>
      </rPr>
      <t>(Produktgruppe 1601)</t>
    </r>
  </si>
  <si>
    <r>
      <rPr>
        <sz val="10"/>
        <rFont val="AvenirNext LT Com Regular"/>
      </rPr>
      <t>Schulumlage</t>
    </r>
    <r>
      <rPr>
        <sz val="10"/>
        <rFont val="AvenirNext LT Com Regular"/>
        <family val="2"/>
      </rPr>
      <t xml:space="preserve"> (Produktgruppe 1601)</t>
    </r>
  </si>
  <si>
    <r>
      <rPr>
        <sz val="10"/>
        <rFont val="AvenirNext LT Com Regular"/>
      </rPr>
      <t>LWV-Umlage</t>
    </r>
    <r>
      <rPr>
        <b/>
        <sz val="10"/>
        <rFont val="AvenirNext LT Com Regular"/>
        <family val="2"/>
      </rPr>
      <t xml:space="preserve"> </t>
    </r>
    <r>
      <rPr>
        <sz val="10"/>
        <rFont val="AvenirNext LT Com Regular"/>
        <family val="2"/>
      </rPr>
      <t>(Produktgruppe 1601)</t>
    </r>
  </si>
  <si>
    <r>
      <rPr>
        <sz val="10"/>
        <rFont val="AvenirNext LT Com Regular"/>
      </rPr>
      <t>Gewerbesteuerumlage</t>
    </r>
    <r>
      <rPr>
        <sz val="10"/>
        <rFont val="AvenirNext LT Com Regular"/>
        <family val="2"/>
      </rPr>
      <t xml:space="preserve"> (Produktgruppe 1601)</t>
    </r>
  </si>
  <si>
    <r>
      <rPr>
        <sz val="10"/>
        <rFont val="AvenirNext LT Com Regular"/>
      </rPr>
      <t>Umlage starke Heimat Hessen</t>
    </r>
    <r>
      <rPr>
        <b/>
        <sz val="10"/>
        <rFont val="AvenirNext LT Com Regular"/>
        <family val="2"/>
      </rPr>
      <t xml:space="preserve"> </t>
    </r>
    <r>
      <rPr>
        <sz val="10"/>
        <rFont val="AvenirNext LT Com Regular"/>
      </rPr>
      <t>(Produktgruppe 1601)</t>
    </r>
  </si>
  <si>
    <r>
      <rPr>
        <sz val="10"/>
        <rFont val="AvenirNext LT Com Regular"/>
      </rPr>
      <t xml:space="preserve">Zinsen für Liquiditätskredite </t>
    </r>
    <r>
      <rPr>
        <sz val="10"/>
        <rFont val="AvenirNext LT Com Regular"/>
        <family val="2"/>
      </rPr>
      <t>(Produktgruppe 1602)</t>
    </r>
  </si>
  <si>
    <r>
      <rPr>
        <sz val="10"/>
        <rFont val="AvenirNext LT Com Regular"/>
      </rPr>
      <t>Zinsen für Investitionskredite</t>
    </r>
    <r>
      <rPr>
        <sz val="10"/>
        <rFont val="AvenirNext LT Com Regular"/>
        <family val="2"/>
      </rPr>
      <t xml:space="preserve"> (Produktgruppe 1602)</t>
    </r>
  </si>
  <si>
    <r>
      <rPr>
        <sz val="10"/>
        <rFont val="AvenirNext LT Com Regular"/>
      </rPr>
      <t>Schlüsselzuweisung</t>
    </r>
    <r>
      <rPr>
        <b/>
        <sz val="10"/>
        <rFont val="AvenirNext LT Com Regular"/>
        <family val="2"/>
      </rPr>
      <t xml:space="preserve"> </t>
    </r>
    <r>
      <rPr>
        <sz val="10"/>
        <rFont val="AvenirNext LT Com Regular"/>
        <family val="2"/>
      </rPr>
      <t>(Produktgruppe 1601)</t>
    </r>
  </si>
  <si>
    <t>Sonstige Erträge</t>
  </si>
  <si>
    <t>Haushaltsunwirksame Auszahlungen (u.a. fremde Finanzmittel, Anlegung von Kassenmitteln, Rückzahlung von Liquiditätskrediten)</t>
  </si>
  <si>
    <t>Haushaltsunwirksame Einzahlungen (u.a. fremde Finanzmittel, Rückzahlung von angelegten Kassenmitteln, Aufnahme von Liquiditätskrediten)</t>
  </si>
  <si>
    <t>("echte" Liquiditätskredite aus Vorjahren)</t>
  </si>
  <si>
    <t>Straßenbeiträge</t>
  </si>
  <si>
    <t>Heimatumlage</t>
  </si>
  <si>
    <r>
      <rPr>
        <b/>
        <sz val="12"/>
        <rFont val="AvenirNext LT Com Regular"/>
      </rPr>
      <t>Pos. 4: davon</t>
    </r>
    <r>
      <rPr>
        <sz val="12"/>
        <rFont val="AvenirNext LT Com Regular"/>
      </rPr>
      <t xml:space="preserve"> aus zweckgebundenen Einzahlungen für die ordentliche Tilgung von Investitionskrediten</t>
    </r>
  </si>
  <si>
    <t>Höhe der Verbindlichkeiten gegenüber dem Sondervermögen Hessenkasse</t>
  </si>
  <si>
    <t>Betrag wird automatisch übernommen aus Blatt "Finanzhaushalt"</t>
  </si>
  <si>
    <t>(wird automatisch übernommen aus "Deckblatt")</t>
  </si>
  <si>
    <t>Geplante Differenz je Einwohner aus Zahlungsmittelfluss aus laufender Verwaltungstätigkeit und ordentlicher Tilgung sowie der Zahlungen an das Sondervermögen Hessenkasse je Einwohner</t>
  </si>
  <si>
    <t>Erwirtschaftete Differenz aus Zahlungsmittelfluss aus laufender Verwaltungstätigkeit und ordentlicher Tilgung sowie der Zahlungen an das Sondervermögen Hessenkasse  je  Einwohner</t>
  </si>
  <si>
    <t>Es ist der (ggf. voraussichtliche) Bestand der Rücklage aus Überschüssen des außerordentlichen Ergebnisses zum Ende des Haushaltsvorjahres anzugeben.</t>
  </si>
  <si>
    <t xml:space="preserve">        </t>
  </si>
  <si>
    <t>Kreditermächtigung wird voraussichtlich in Anspruch genommen am:</t>
  </si>
  <si>
    <t>Liquiditätsplanung gemäß Hinweis Nr. 3 zu § 105 HGO zur 
Ermittlung des genehmigungsfähigen Höchstbetrages der Liquiditätskredite</t>
  </si>
  <si>
    <t>Produktbereichsplan gemäß Muster 11 zu § 4 Abs. 2 GemHVO</t>
  </si>
  <si>
    <t>Haushaltsplan</t>
  </si>
  <si>
    <t>Es ist der in der letzten aufgestellten Vermögensrechnung ausgewiesene Fehlbetrag aus Vorjahren (§ 49 Abs. 4 Nr. 1.3.1.1 GemHVO) mit positivem Vorzeichen anzugeben.</t>
  </si>
  <si>
    <t>Es ist der in der aufgestellten Vermögensrechnung ausgewiesene Fehlbetrag aus Vorjahren (§ 49 Abs. 4 Nr. 1.3.1.1 GemHVO) mit positivem Vorzeichen anzugeben.</t>
  </si>
  <si>
    <r>
      <t>kein Bestand (</t>
    </r>
    <r>
      <rPr>
        <b/>
        <sz val="12"/>
        <rFont val="Calibri"/>
        <family val="2"/>
      </rPr>
      <t>≤</t>
    </r>
    <r>
      <rPr>
        <b/>
        <sz val="12"/>
        <rFont val="AvenirNext "/>
      </rPr>
      <t xml:space="preserve"> 0 €) = 0</t>
    </r>
  </si>
  <si>
    <r>
      <t>Bestand teilweise gebildet (</t>
    </r>
    <r>
      <rPr>
        <b/>
        <sz val="12"/>
        <rFont val="Calibri"/>
        <family val="2"/>
      </rPr>
      <t>≥</t>
    </r>
    <r>
      <rPr>
        <b/>
        <sz val="12"/>
        <rFont val="AvenirNext "/>
      </rPr>
      <t xml:space="preserve"> 50 %) = 0,5</t>
    </r>
  </si>
  <si>
    <t>Ausweis von Eigenkapital 
(nach letzter aufgestellter Bilanz)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</si>
</sst>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0\ &quot;€&quot;;\-#,##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0\ \ "/>
    <numFmt numFmtId="167" formatCode="#,##0.0\ "/>
    <numFmt numFmtId="168" formatCode="\+#,##0.0;\-#,##0.0"/>
    <numFmt numFmtId="169" formatCode="\+#,##0.0\ \ ;\-#,##0.0\ \ "/>
    <numFmt numFmtId="170" formatCode="#,##0.00_ ;[Red]\-#,##0.00\ "/>
    <numFmt numFmtId="171" formatCode="#,##0\ &quot;€&quot;"/>
    <numFmt numFmtId="172" formatCode="#,##0.00\ "/>
    <numFmt numFmtId="173" formatCode="dd/\ mm/yyyy"/>
    <numFmt numFmtId="174" formatCode="[$-407]d/\ mmmm\ yyyy;@"/>
    <numFmt numFmtId="175" formatCode="#,##0_ ;[Red]\-#,##0\ "/>
    <numFmt numFmtId="176" formatCode="#,##0.00\ \ "/>
    <numFmt numFmtId="177" formatCode="#,##0.00;[Red]#,##0.00"/>
    <numFmt numFmtId="178" formatCode="#,##0.00_ ;[Red]\-#,##0.00;;@"/>
    <numFmt numFmtId="179" formatCode="######"/>
    <numFmt numFmtId="180" formatCode="#,##0.000"/>
    <numFmt numFmtId="181" formatCode="####;@"/>
    <numFmt numFmtId="182" formatCode="#,##0.00\ &quot;€&quot;;[Red]\-#,##0.00\ &quot;€&quot;;@"/>
    <numFmt numFmtId="183" formatCode="#,##0.00\ &quot;€&quot;;[Red]\-#,##0.00\ &quot;€&quot;;;@"/>
    <numFmt numFmtId="184" formatCode="#,##0.00\ &quot;€&quot;;[Red]#,##0.00\ &quot;€&quot;"/>
    <numFmt numFmtId="185" formatCode="0_ ;\-0\ "/>
    <numFmt numFmtId="186" formatCode="_-* #,##0\ [$€-407]_-;\-* #,##0\ [$€-407]_-;_-* &quot;-&quot;\ [$€-407]_-;_-@_-"/>
  </numFmts>
  <fonts count="116">
    <font>
      <sz val="11"/>
      <name val="AvenirNext LT Com Regular"/>
    </font>
    <font>
      <sz val="11"/>
      <color theme="1"/>
      <name val="Calibri"/>
      <family val="2"/>
      <scheme val="minor"/>
    </font>
    <font>
      <sz val="11"/>
      <color theme="1"/>
      <name val="Calibri"/>
      <family val="2"/>
      <scheme val="minor"/>
    </font>
    <font>
      <sz val="11"/>
      <color theme="1"/>
      <name val="Calibri"/>
      <family val="2"/>
      <scheme val="minor"/>
    </font>
    <font>
      <sz val="11"/>
      <name val="AvenirNext LT Com Regular"/>
    </font>
    <font>
      <sz val="8"/>
      <name val="AvenirNext LT Com Regular"/>
      <family val="2"/>
    </font>
    <font>
      <sz val="11"/>
      <name val="AvenirNext LT Com Regular"/>
      <family val="2"/>
    </font>
    <font>
      <b/>
      <sz val="11"/>
      <name val="AvenirNext LT Com Regular"/>
      <family val="2"/>
    </font>
    <font>
      <sz val="10"/>
      <name val="AvenirNext LT Com Regular"/>
      <family val="2"/>
    </font>
    <font>
      <sz val="9"/>
      <name val="Times New Roman"/>
      <family val="1"/>
    </font>
    <font>
      <sz val="10"/>
      <name val="AvenirNext LT Com Regular"/>
      <family val="2"/>
    </font>
    <font>
      <b/>
      <sz val="10"/>
      <name val="AvenirNext LT Com Regular"/>
      <family val="2"/>
    </font>
    <font>
      <sz val="10"/>
      <name val="Symbol"/>
      <family val="1"/>
      <charset val="2"/>
    </font>
    <font>
      <sz val="9"/>
      <name val="AvenirNext LT Com Regular"/>
      <family val="2"/>
    </font>
    <font>
      <b/>
      <sz val="9"/>
      <name val="AvenirNext LT Com Regular"/>
      <family val="2"/>
    </font>
    <font>
      <b/>
      <sz val="9"/>
      <name val="AvenirNext LT Com Regular"/>
      <family val="2"/>
    </font>
    <font>
      <sz val="10"/>
      <name val="MS Sans Serif"/>
      <family val="2"/>
    </font>
    <font>
      <sz val="8"/>
      <name val="MS Sans Serif"/>
      <family val="2"/>
    </font>
    <font>
      <sz val="9"/>
      <name val="AvenirNext LT Com Regular"/>
      <family val="2"/>
    </font>
    <font>
      <sz val="10"/>
      <name val="Times New Roman"/>
      <family val="1"/>
    </font>
    <font>
      <b/>
      <sz val="10"/>
      <name val="Times New Roman"/>
      <family val="1"/>
    </font>
    <font>
      <sz val="9"/>
      <name val="Times New Roman"/>
      <family val="1"/>
    </font>
    <font>
      <sz val="8"/>
      <name val="AvenirNext LT Com Regular"/>
      <family val="2"/>
    </font>
    <font>
      <b/>
      <sz val="8"/>
      <name val="AvenirNext LT Com Regular"/>
      <family val="2"/>
    </font>
    <font>
      <sz val="7"/>
      <name val="AvenirNext LT Com Regular"/>
      <family val="2"/>
    </font>
    <font>
      <b/>
      <sz val="7"/>
      <name val="AvenirNext LT Com Regular"/>
      <family val="2"/>
    </font>
    <font>
      <b/>
      <sz val="8"/>
      <name val="AvenirNext LT Com Regular"/>
      <family val="2"/>
    </font>
    <font>
      <b/>
      <i/>
      <sz val="10"/>
      <name val="AvenirNext LT Com Regular"/>
      <family val="2"/>
    </font>
    <font>
      <sz val="10"/>
      <name val="Arial"/>
      <family val="2"/>
    </font>
    <font>
      <sz val="12"/>
      <name val="Times New Roman"/>
      <family val="1"/>
    </font>
    <font>
      <b/>
      <sz val="8"/>
      <name val="Times New Roman"/>
      <family val="1"/>
    </font>
    <font>
      <sz val="8"/>
      <name val="Times New Roman"/>
      <family val="1"/>
    </font>
    <font>
      <b/>
      <i/>
      <sz val="8"/>
      <name val="Arial"/>
      <family val="2"/>
    </font>
    <font>
      <b/>
      <i/>
      <sz val="8"/>
      <name val="AvenirNext LT Com Regular"/>
      <family val="2"/>
    </font>
    <font>
      <i/>
      <sz val="8"/>
      <name val="AvenirNext LT Com Regular"/>
      <family val="2"/>
    </font>
    <font>
      <sz val="7"/>
      <name val="Times New Roman"/>
      <family val="1"/>
    </font>
    <font>
      <b/>
      <sz val="12"/>
      <name val="AvenirNext LT Com Regular"/>
      <family val="2"/>
    </font>
    <font>
      <sz val="9"/>
      <name val="Symbol"/>
      <family val="1"/>
      <charset val="2"/>
    </font>
    <font>
      <sz val="6"/>
      <name val="AvenirNext LT Com Regular"/>
      <family val="2"/>
    </font>
    <font>
      <i/>
      <sz val="9"/>
      <name val="AvenirNext LT Com Regular"/>
      <family val="2"/>
    </font>
    <font>
      <b/>
      <i/>
      <sz val="9"/>
      <name val="AvenirNext LT Com Regular"/>
      <family val="2"/>
    </font>
    <font>
      <sz val="12"/>
      <name val="AvenirNext LT Com Regular"/>
      <family val="2"/>
    </font>
    <font>
      <b/>
      <sz val="7.5"/>
      <name val="AvenirNext LT Com Regular"/>
      <family val="2"/>
    </font>
    <font>
      <sz val="11"/>
      <color theme="1"/>
      <name val="Arial"/>
      <family val="2"/>
    </font>
    <font>
      <sz val="10"/>
      <name val="AvenirNext LT Com Regular"/>
    </font>
    <font>
      <b/>
      <sz val="11"/>
      <name val="AvenirNext LT Com Regular"/>
    </font>
    <font>
      <b/>
      <u/>
      <sz val="11"/>
      <name val="AvenirNext LT Com Regular"/>
      <family val="2"/>
    </font>
    <font>
      <b/>
      <u/>
      <sz val="11"/>
      <name val="AvenirNext LT Com Regular"/>
    </font>
    <font>
      <b/>
      <strike/>
      <sz val="7"/>
      <name val="Cambria"/>
      <family val="1"/>
    </font>
    <font>
      <strike/>
      <sz val="10"/>
      <name val="Cambria"/>
      <family val="1"/>
    </font>
    <font>
      <sz val="8"/>
      <color rgb="FFFF0000"/>
      <name val="AvenirNext LT Com Regular"/>
      <family val="2"/>
    </font>
    <font>
      <b/>
      <sz val="11"/>
      <name val="Arial"/>
      <family val="2"/>
    </font>
    <font>
      <sz val="8"/>
      <name val="AvenirNext LT Com Regular"/>
    </font>
    <font>
      <sz val="11"/>
      <color rgb="FFFF0000"/>
      <name val="AvenirNext LT Com Regular"/>
      <family val="2"/>
    </font>
    <font>
      <b/>
      <sz val="11"/>
      <color rgb="FFFF0000"/>
      <name val="AvenirNext LT Com Regular"/>
    </font>
    <font>
      <strike/>
      <sz val="9"/>
      <name val="AvenirNext LT Com Regular"/>
      <family val="2"/>
    </font>
    <font>
      <strike/>
      <sz val="11"/>
      <name val="AvenirNext LT Com Regular"/>
      <family val="2"/>
    </font>
    <font>
      <sz val="10"/>
      <color rgb="FFFF0000"/>
      <name val="Times New Roman"/>
      <family val="1"/>
    </font>
    <font>
      <sz val="10"/>
      <color rgb="FFFF0000"/>
      <name val="AvenirNext LT Com Regular"/>
      <family val="2"/>
    </font>
    <font>
      <b/>
      <sz val="11"/>
      <color rgb="FFFF0000"/>
      <name val="AvenirNext LT Com Regular"/>
      <family val="2"/>
    </font>
    <font>
      <b/>
      <sz val="9"/>
      <name val="AvenirNext LT Com Regular"/>
    </font>
    <font>
      <b/>
      <sz val="10"/>
      <name val="AvenirNext LT Com Regular"/>
    </font>
    <font>
      <sz val="11"/>
      <color rgb="FFFF0000"/>
      <name val="AvenirNext LT Com Regular"/>
    </font>
    <font>
      <b/>
      <u/>
      <sz val="11"/>
      <color rgb="FFFF0000"/>
      <name val="AvenirNext LT Com Regular"/>
    </font>
    <font>
      <b/>
      <u/>
      <sz val="12"/>
      <name val="AvenirNext LT Com Regular"/>
      <family val="2"/>
    </font>
    <font>
      <sz val="9"/>
      <name val="AvenirNext LT Com Regular"/>
    </font>
    <font>
      <b/>
      <sz val="8"/>
      <name val="AvenirNext LT Com Regular"/>
    </font>
    <font>
      <sz val="14"/>
      <name val="AvenirNext LT Com Regular"/>
    </font>
    <font>
      <sz val="14"/>
      <color rgb="FFFF0000"/>
      <name val="AvenirNext LT Com Regular"/>
      <family val="2"/>
    </font>
    <font>
      <sz val="14"/>
      <color theme="1"/>
      <name val="Arial"/>
      <family val="2"/>
    </font>
    <font>
      <i/>
      <sz val="8"/>
      <color rgb="FFFF0000"/>
      <name val="AvenirNext LT Com Regular"/>
      <family val="2"/>
    </font>
    <font>
      <b/>
      <u/>
      <sz val="14"/>
      <name val="AvenirNext LT Com Regular"/>
    </font>
    <font>
      <b/>
      <u/>
      <sz val="10"/>
      <name val="AvenirNext LT Com Regular"/>
      <family val="2"/>
    </font>
    <font>
      <b/>
      <u/>
      <sz val="12"/>
      <name val="AvenirNext LT Com Regular"/>
    </font>
    <font>
      <i/>
      <sz val="9"/>
      <name val="AvenirNext LT Com Regular"/>
    </font>
    <font>
      <b/>
      <sz val="12"/>
      <color theme="1"/>
      <name val="Calibri"/>
      <family val="2"/>
      <scheme val="minor"/>
    </font>
    <font>
      <sz val="12"/>
      <color theme="1"/>
      <name val="Calibri"/>
      <family val="2"/>
      <scheme val="minor"/>
    </font>
    <font>
      <sz val="10"/>
      <name val="Helv"/>
    </font>
    <font>
      <sz val="8"/>
      <name val="Arial"/>
      <family val="2"/>
    </font>
    <font>
      <sz val="8"/>
      <color theme="1"/>
      <name val="Arial"/>
      <family val="2"/>
    </font>
    <font>
      <sz val="6"/>
      <name val="AvenirNext LT Com Regular"/>
    </font>
    <font>
      <b/>
      <sz val="9"/>
      <color rgb="FFFF0000"/>
      <name val="AvenirNext LT Com Regular"/>
    </font>
    <font>
      <sz val="9"/>
      <color indexed="81"/>
      <name val="Tahoma"/>
      <family val="2"/>
    </font>
    <font>
      <b/>
      <sz val="9"/>
      <color indexed="81"/>
      <name val="Tahoma"/>
      <family val="2"/>
    </font>
    <font>
      <b/>
      <sz val="12"/>
      <name val="Arial"/>
      <family val="2"/>
    </font>
    <font>
      <sz val="9"/>
      <name val="MS Sans Serif"/>
      <family val="2"/>
    </font>
    <font>
      <sz val="12"/>
      <name val="Arial"/>
      <family val="2"/>
    </font>
    <font>
      <sz val="12"/>
      <color theme="1"/>
      <name val="Arial"/>
      <family val="2"/>
    </font>
    <font>
      <b/>
      <sz val="12"/>
      <name val="AvenirNext LT Com Regular"/>
    </font>
    <font>
      <sz val="12"/>
      <name val="AvenirNext LT Com Regular"/>
    </font>
    <font>
      <u/>
      <sz val="12"/>
      <name val="AvenirNext LT Com Regular"/>
    </font>
    <font>
      <b/>
      <i/>
      <sz val="12"/>
      <name val="AvenirNext LT Com Regular"/>
      <family val="2"/>
    </font>
    <font>
      <sz val="12"/>
      <color theme="1"/>
      <name val="AvenirNext LT Com Regular"/>
      <family val="2"/>
    </font>
    <font>
      <b/>
      <sz val="12"/>
      <color indexed="8"/>
      <name val="AvenirNext LT Com Regular"/>
      <family val="2"/>
    </font>
    <font>
      <sz val="12"/>
      <color indexed="8"/>
      <name val="AvenirNext LT Com Regular"/>
      <family val="2"/>
    </font>
    <font>
      <b/>
      <sz val="12"/>
      <color theme="1"/>
      <name val="AvenirNext LT Com Regular"/>
      <family val="2"/>
    </font>
    <font>
      <b/>
      <sz val="12"/>
      <color theme="1"/>
      <name val="Arial"/>
      <family val="2"/>
    </font>
    <font>
      <b/>
      <sz val="10"/>
      <color rgb="FFFF0000"/>
      <name val="MS Sans Serif"/>
      <family val="2"/>
    </font>
    <font>
      <b/>
      <sz val="10"/>
      <color rgb="FFFF0000"/>
      <name val="AvenirNext LT Com Regular"/>
      <family val="2"/>
    </font>
    <font>
      <strike/>
      <sz val="10"/>
      <name val="AvenirNext LT Com Regular"/>
      <family val="2"/>
    </font>
    <font>
      <b/>
      <strike/>
      <sz val="10"/>
      <name val="AvenirNext LT Com Regular"/>
      <family val="2"/>
    </font>
    <font>
      <b/>
      <sz val="12"/>
      <color theme="1"/>
      <name val="AvenirNext "/>
    </font>
    <font>
      <sz val="11"/>
      <name val="AvenirNext "/>
    </font>
    <font>
      <b/>
      <sz val="12"/>
      <name val="AvenirNext "/>
    </font>
    <font>
      <b/>
      <u/>
      <sz val="10"/>
      <name val="AvenirNext LT Com Regular"/>
    </font>
    <font>
      <sz val="11"/>
      <color theme="1"/>
      <name val="AvenirNext LT Com Regular"/>
      <family val="2"/>
    </font>
    <font>
      <b/>
      <sz val="11"/>
      <color theme="1"/>
      <name val="AvenirNext LT Com Regular"/>
      <family val="2"/>
    </font>
    <font>
      <b/>
      <sz val="11"/>
      <color theme="1"/>
      <name val="AvenirNext LT Com Regular"/>
    </font>
    <font>
      <sz val="11"/>
      <name val="Arial"/>
      <family val="2"/>
    </font>
    <font>
      <b/>
      <sz val="14"/>
      <color theme="1"/>
      <name val="AvenirNext LT Com Regular"/>
      <family val="2"/>
    </font>
    <font>
      <sz val="16"/>
      <name val="AvenirNext LT Com Regular"/>
    </font>
    <font>
      <b/>
      <sz val="16"/>
      <name val="Arial"/>
      <family val="2"/>
    </font>
    <font>
      <b/>
      <sz val="14"/>
      <name val="AvenirNext "/>
    </font>
    <font>
      <b/>
      <sz val="12"/>
      <name val="Calibri"/>
      <family val="2"/>
    </font>
    <font>
      <b/>
      <sz val="14"/>
      <name val="AvenirNext LT Com Regular"/>
      <family val="2"/>
    </font>
    <font>
      <b/>
      <sz val="14"/>
      <name val="AvenirNext LT Com Regular"/>
    </font>
  </fonts>
  <fills count="17">
    <fill>
      <patternFill patternType="none"/>
    </fill>
    <fill>
      <patternFill patternType="gray125"/>
    </fill>
    <fill>
      <patternFill patternType="solid">
        <fgColor indexed="22"/>
        <bgColor indexed="64"/>
      </patternFill>
    </fill>
    <fill>
      <patternFill patternType="solid">
        <fgColor theme="9"/>
        <bgColor indexed="64"/>
      </patternFill>
    </fill>
    <fill>
      <patternFill patternType="solid">
        <fgColor theme="0" tint="-0.24994659260841701"/>
        <bgColor indexed="64"/>
      </patternFill>
    </fill>
    <fill>
      <patternFill patternType="solid">
        <fgColor rgb="FFFFFF00"/>
        <bgColor indexed="64"/>
      </patternFill>
    </fill>
    <fill>
      <patternFill patternType="solid">
        <fgColor rgb="FFCCFFFF"/>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6" tint="0.59996337778862885"/>
        <bgColor indexed="64"/>
      </patternFill>
    </fill>
    <fill>
      <patternFill patternType="solid">
        <fgColor indexed="41"/>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9847407452621"/>
        <bgColor indexed="64"/>
      </patternFill>
    </fill>
  </fills>
  <borders count="118">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hair">
        <color indexed="64"/>
      </right>
      <top/>
      <bottom/>
      <diagonal/>
    </border>
    <border>
      <left style="hair">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hair">
        <color indexed="64"/>
      </left>
      <right style="medium">
        <color indexed="64"/>
      </right>
      <top/>
      <bottom style="hair">
        <color indexed="64"/>
      </bottom>
      <diagonal/>
    </border>
    <border>
      <left/>
      <right/>
      <top style="thin">
        <color indexed="64"/>
      </top>
      <bottom/>
      <diagonal/>
    </border>
    <border>
      <left/>
      <right style="hair">
        <color indexed="64"/>
      </right>
      <top/>
      <bottom style="hair">
        <color indexed="8"/>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right style="thin">
        <color auto="1"/>
      </right>
      <top style="thin">
        <color indexed="64"/>
      </top>
      <bottom style="thin">
        <color indexed="64"/>
      </bottom>
      <diagonal/>
    </border>
    <border>
      <left style="thin">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style="hair">
        <color indexed="64"/>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bottom style="dashed">
        <color auto="1"/>
      </bottom>
      <diagonal/>
    </border>
    <border>
      <left/>
      <right/>
      <top/>
      <bottom style="hair">
        <color auto="1"/>
      </bottom>
      <diagonal/>
    </border>
    <border>
      <left style="thin">
        <color indexed="64"/>
      </left>
      <right style="hair">
        <color indexed="64"/>
      </right>
      <top style="hair">
        <color indexed="64"/>
      </top>
      <bottom style="thin">
        <color indexed="64"/>
      </bottom>
      <diagonal/>
    </border>
    <border>
      <left/>
      <right style="medium">
        <color indexed="64"/>
      </right>
      <top/>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top/>
      <bottom style="thin">
        <color auto="1"/>
      </bottom>
      <diagonal/>
    </border>
    <border>
      <left/>
      <right style="thin">
        <color indexed="64"/>
      </right>
      <top/>
      <bottom style="thin">
        <color indexed="64"/>
      </bottom>
      <diagonal/>
    </border>
    <border>
      <left/>
      <right style="hair">
        <color indexed="64"/>
      </right>
      <top style="thin">
        <color auto="1"/>
      </top>
      <bottom style="thin">
        <color auto="1"/>
      </bottom>
      <diagonal/>
    </border>
    <border>
      <left style="thin">
        <color indexed="64"/>
      </left>
      <right style="hair">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right style="thin">
        <color indexed="64"/>
      </right>
      <top style="hair">
        <color auto="1"/>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bottom style="thin">
        <color indexed="64"/>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8"/>
      </right>
      <top style="medium">
        <color indexed="64"/>
      </top>
      <bottom style="medium">
        <color indexed="8"/>
      </bottom>
      <diagonal/>
    </border>
    <border>
      <left/>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ashed">
        <color indexed="64"/>
      </left>
      <right style="dashed">
        <color indexed="64"/>
      </right>
      <top style="dashed">
        <color indexed="64"/>
      </top>
      <bottom style="dashed">
        <color indexed="64"/>
      </bottom>
      <diagonal/>
    </border>
  </borders>
  <cellStyleXfs count="17">
    <xf numFmtId="0" fontId="0" fillId="0" borderId="0"/>
    <xf numFmtId="164" fontId="4" fillId="0" borderId="0" applyFont="0" applyFill="0" applyBorder="0" applyAlignment="0" applyProtection="0"/>
    <xf numFmtId="0" fontId="43" fillId="0" borderId="0"/>
    <xf numFmtId="0" fontId="6" fillId="0" borderId="0"/>
    <xf numFmtId="0" fontId="16" fillId="0" borderId="0"/>
    <xf numFmtId="0" fontId="16" fillId="0" borderId="0"/>
    <xf numFmtId="0" fontId="28" fillId="0" borderId="0"/>
    <xf numFmtId="0" fontId="29" fillId="0" borderId="0"/>
    <xf numFmtId="0" fontId="28" fillId="0" borderId="0"/>
    <xf numFmtId="0" fontId="3" fillId="0" borderId="0"/>
    <xf numFmtId="9" fontId="28"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77" fillId="0" borderId="0"/>
    <xf numFmtId="0" fontId="2" fillId="0" borderId="0"/>
    <xf numFmtId="0" fontId="1" fillId="0" borderId="0"/>
    <xf numFmtId="0" fontId="28" fillId="0" borderId="0"/>
  </cellStyleXfs>
  <cellXfs count="1026">
    <xf numFmtId="0" fontId="0" fillId="0" borderId="0" xfId="0"/>
    <xf numFmtId="165" fontId="9" fillId="0" borderId="0" xfId="0" applyNumberFormat="1" applyFont="1" applyAlignment="1" applyProtection="1">
      <alignment horizontal="right"/>
    </xf>
    <xf numFmtId="0" fontId="10"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0" fillId="0" borderId="0" xfId="0" applyFont="1" applyProtection="1">
      <protection hidden="1"/>
    </xf>
    <xf numFmtId="0" fontId="10" fillId="0" borderId="0" xfId="0" applyFont="1" applyAlignment="1" applyProtection="1">
      <alignment horizontal="center"/>
      <protection hidden="1"/>
    </xf>
    <xf numFmtId="0" fontId="11" fillId="0" borderId="0" xfId="0" applyFont="1" applyAlignment="1" applyProtection="1">
      <alignment horizontal="center"/>
      <protection hidden="1"/>
    </xf>
    <xf numFmtId="0" fontId="12" fillId="0" borderId="0" xfId="0" applyFont="1" applyAlignment="1" applyProtection="1">
      <alignment horizontal="center"/>
      <protection hidden="1"/>
    </xf>
    <xf numFmtId="0" fontId="13" fillId="0" borderId="0" xfId="0" applyFont="1" applyProtection="1">
      <protection hidden="1"/>
    </xf>
    <xf numFmtId="0" fontId="14" fillId="0" borderId="0" xfId="0" applyFont="1" applyAlignment="1" applyProtection="1">
      <alignment horizontal="center"/>
      <protection hidden="1"/>
    </xf>
    <xf numFmtId="0" fontId="13" fillId="0" borderId="0" xfId="0" applyFont="1"/>
    <xf numFmtId="0" fontId="13" fillId="0" borderId="0" xfId="0" applyFont="1" applyAlignment="1" applyProtection="1">
      <alignment horizontal="center"/>
      <protection hidden="1"/>
    </xf>
    <xf numFmtId="0" fontId="15" fillId="0" borderId="0" xfId="0" applyFont="1" applyAlignment="1" applyProtection="1">
      <alignment horizontal="center"/>
      <protection hidden="1"/>
    </xf>
    <xf numFmtId="0" fontId="7" fillId="0" borderId="0" xfId="0" applyFont="1" applyProtection="1">
      <protection hidden="1"/>
    </xf>
    <xf numFmtId="0" fontId="6" fillId="0" borderId="0" xfId="0" applyFont="1" applyProtection="1">
      <protection hidden="1"/>
    </xf>
    <xf numFmtId="0" fontId="6" fillId="0" borderId="0" xfId="0" applyFont="1"/>
    <xf numFmtId="0" fontId="16" fillId="0" borderId="0" xfId="4"/>
    <xf numFmtId="0" fontId="16" fillId="0" borderId="0" xfId="4" applyAlignment="1">
      <alignment vertical="center"/>
    </xf>
    <xf numFmtId="0" fontId="19" fillId="0" borderId="0" xfId="4" applyFont="1" applyFill="1" applyAlignment="1">
      <alignment horizontal="center" vertical="center"/>
    </xf>
    <xf numFmtId="0" fontId="20" fillId="0" borderId="0" xfId="4" applyFont="1" applyFill="1" applyAlignment="1">
      <alignment horizontal="center" vertical="center"/>
    </xf>
    <xf numFmtId="166" fontId="19" fillId="0" borderId="0" xfId="4" applyNumberFormat="1" applyFont="1" applyFill="1" applyAlignment="1">
      <alignment vertical="center"/>
    </xf>
    <xf numFmtId="0" fontId="20" fillId="0" borderId="0" xfId="4" quotePrefix="1" applyFont="1" applyFill="1" applyAlignment="1">
      <alignment horizontal="center" vertical="center"/>
    </xf>
    <xf numFmtId="166" fontId="21" fillId="0" borderId="0" xfId="4" applyNumberFormat="1" applyFont="1" applyFill="1" applyAlignment="1">
      <alignment vertical="center"/>
    </xf>
    <xf numFmtId="0" fontId="19" fillId="0" borderId="0" xfId="4" applyFont="1" applyFill="1" applyAlignment="1">
      <alignment vertical="center" wrapText="1"/>
    </xf>
    <xf numFmtId="0" fontId="16" fillId="0" borderId="0" xfId="4" applyFont="1"/>
    <xf numFmtId="0" fontId="18" fillId="0" borderId="0" xfId="4" applyFont="1"/>
    <xf numFmtId="0" fontId="22" fillId="0" borderId="0" xfId="4" applyFont="1" applyAlignment="1">
      <alignment horizontal="center" vertical="center"/>
    </xf>
    <xf numFmtId="0" fontId="11" fillId="0" borderId="0" xfId="4" applyFont="1" applyAlignment="1">
      <alignment horizontal="center" vertical="center"/>
    </xf>
    <xf numFmtId="0" fontId="8" fillId="0" borderId="0" xfId="4" applyFont="1" applyAlignment="1">
      <alignment vertical="center"/>
    </xf>
    <xf numFmtId="0" fontId="22" fillId="0" borderId="0" xfId="4" applyFont="1" applyBorder="1" applyAlignment="1">
      <alignment vertical="center"/>
    </xf>
    <xf numFmtId="0" fontId="8" fillId="0" borderId="0" xfId="4" applyFont="1" applyBorder="1" applyAlignment="1">
      <alignment vertical="center"/>
    </xf>
    <xf numFmtId="0" fontId="23" fillId="0" borderId="0" xfId="4" quotePrefix="1" applyFont="1" applyBorder="1" applyAlignment="1" applyProtection="1">
      <alignment horizontal="center" vertical="center"/>
      <protection hidden="1"/>
    </xf>
    <xf numFmtId="0" fontId="25" fillId="0" borderId="2" xfId="4" quotePrefix="1" applyFont="1" applyFill="1" applyBorder="1" applyAlignment="1" applyProtection="1">
      <alignment horizontal="center" vertical="center" wrapText="1"/>
      <protection hidden="1"/>
    </xf>
    <xf numFmtId="0" fontId="25" fillId="0" borderId="2" xfId="4" quotePrefix="1" applyFont="1" applyFill="1" applyBorder="1" applyAlignment="1" applyProtection="1">
      <alignment horizontal="center" vertical="center"/>
      <protection hidden="1"/>
    </xf>
    <xf numFmtId="0" fontId="25" fillId="0" borderId="4" xfId="4" applyFont="1" applyFill="1" applyBorder="1" applyAlignment="1" applyProtection="1">
      <alignment horizontal="center" vertical="center"/>
      <protection hidden="1"/>
    </xf>
    <xf numFmtId="0" fontId="29" fillId="0" borderId="0" xfId="7"/>
    <xf numFmtId="0" fontId="0" fillId="0" borderId="0" xfId="0" applyFill="1"/>
    <xf numFmtId="0" fontId="6" fillId="0" borderId="0" xfId="0" applyFont="1" applyFill="1" applyProtection="1">
      <protection hidden="1"/>
    </xf>
    <xf numFmtId="0" fontId="6" fillId="0" borderId="0" xfId="0" applyFont="1" applyFill="1"/>
    <xf numFmtId="165" fontId="6" fillId="0" borderId="0" xfId="0" applyNumberFormat="1" applyFont="1" applyFill="1"/>
    <xf numFmtId="0" fontId="37" fillId="0" borderId="0" xfId="0" applyFont="1" applyAlignment="1" applyProtection="1">
      <alignment horizontal="center"/>
      <protection hidden="1"/>
    </xf>
    <xf numFmtId="165" fontId="7" fillId="0" borderId="0" xfId="0" applyNumberFormat="1" applyFont="1" applyFill="1" applyBorder="1" applyProtection="1"/>
    <xf numFmtId="168" fontId="7" fillId="0" borderId="0" xfId="0" applyNumberFormat="1" applyFont="1" applyFill="1" applyAlignment="1" applyProtection="1">
      <alignment vertical="center"/>
      <protection hidden="1"/>
    </xf>
    <xf numFmtId="0" fontId="11" fillId="0" borderId="0" xfId="0" quotePrefix="1" applyFont="1" applyAlignment="1" applyProtection="1">
      <alignment horizontal="center"/>
      <protection hidden="1"/>
    </xf>
    <xf numFmtId="0" fontId="14" fillId="0" borderId="0" xfId="0" applyFont="1"/>
    <xf numFmtId="0" fontId="11" fillId="0" borderId="0" xfId="0" applyFont="1" applyAlignment="1" applyProtection="1">
      <alignment horizontal="right"/>
      <protection hidden="1"/>
    </xf>
    <xf numFmtId="0" fontId="27" fillId="0" borderId="0" xfId="0" quotePrefix="1" applyFont="1" applyAlignment="1" applyProtection="1">
      <alignment horizontal="center"/>
      <protection hidden="1"/>
    </xf>
    <xf numFmtId="0" fontId="15" fillId="0" borderId="0" xfId="0" applyFont="1" applyAlignment="1" applyProtection="1">
      <alignment horizontal="left"/>
      <protection hidden="1"/>
    </xf>
    <xf numFmtId="0" fontId="24" fillId="0" borderId="0" xfId="4" applyFont="1" applyBorder="1" applyAlignment="1">
      <alignment vertical="center"/>
    </xf>
    <xf numFmtId="166" fontId="22" fillId="0" borderId="0" xfId="7" applyNumberFormat="1" applyFont="1" applyFill="1" applyBorder="1" applyAlignment="1" applyProtection="1">
      <alignment vertical="center"/>
    </xf>
    <xf numFmtId="166" fontId="34" fillId="0" borderId="0" xfId="7" applyNumberFormat="1" applyFont="1" applyFill="1" applyBorder="1" applyAlignment="1" applyProtection="1">
      <alignment vertical="center"/>
    </xf>
    <xf numFmtId="166" fontId="34" fillId="0" borderId="0" xfId="7" applyNumberFormat="1" applyFont="1" applyFill="1" applyBorder="1" applyAlignment="1">
      <alignment vertical="center"/>
    </xf>
    <xf numFmtId="0" fontId="29" fillId="0" borderId="0" xfId="7" applyFill="1" applyBorder="1"/>
    <xf numFmtId="166" fontId="23" fillId="0" borderId="0" xfId="7" applyNumberFormat="1" applyFont="1" applyFill="1" applyBorder="1" applyAlignment="1">
      <alignment horizontal="center" vertical="center" wrapText="1"/>
    </xf>
    <xf numFmtId="166" fontId="34" fillId="0" borderId="0" xfId="7" applyNumberFormat="1" applyFont="1" applyFill="1" applyBorder="1" applyAlignment="1" applyProtection="1">
      <alignment vertical="center"/>
      <protection locked="0"/>
    </xf>
    <xf numFmtId="166" fontId="33" fillId="0" borderId="0" xfId="7" applyNumberFormat="1" applyFont="1" applyFill="1" applyBorder="1" applyAlignment="1" applyProtection="1">
      <alignment vertical="center"/>
      <protection locked="0"/>
    </xf>
    <xf numFmtId="0" fontId="24" fillId="0" borderId="4" xfId="4" applyFont="1" applyFill="1" applyBorder="1" applyAlignment="1" applyProtection="1">
      <alignment horizontal="center" vertical="center"/>
    </xf>
    <xf numFmtId="166" fontId="18" fillId="0" borderId="0" xfId="7" applyNumberFormat="1" applyFont="1" applyFill="1" applyBorder="1" applyAlignment="1" applyProtection="1">
      <alignment vertical="center"/>
    </xf>
    <xf numFmtId="166" fontId="39" fillId="0" borderId="0" xfId="7" applyNumberFormat="1" applyFont="1" applyFill="1" applyBorder="1" applyAlignment="1" applyProtection="1">
      <alignment vertical="center"/>
    </xf>
    <xf numFmtId="166" fontId="14" fillId="0" borderId="0" xfId="7" applyNumberFormat="1" applyFont="1" applyFill="1" applyBorder="1" applyAlignment="1">
      <alignment horizontal="center" vertical="center" wrapText="1"/>
    </xf>
    <xf numFmtId="166" fontId="39" fillId="0" borderId="0" xfId="7" applyNumberFormat="1" applyFont="1" applyFill="1" applyBorder="1" applyAlignment="1">
      <alignment vertical="center"/>
    </xf>
    <xf numFmtId="166" fontId="40" fillId="0" borderId="0" xfId="7" applyNumberFormat="1" applyFont="1" applyFill="1" applyBorder="1" applyAlignment="1" applyProtection="1">
      <alignment vertical="center"/>
    </xf>
    <xf numFmtId="0" fontId="24" fillId="0" borderId="0" xfId="7" applyFont="1" applyFill="1" applyBorder="1" applyAlignment="1">
      <alignment horizontal="center" vertical="center" wrapText="1"/>
    </xf>
    <xf numFmtId="0" fontId="41" fillId="0" borderId="0" xfId="7" applyFont="1"/>
    <xf numFmtId="0" fontId="18" fillId="0" borderId="0" xfId="7" applyFont="1" applyFill="1" applyBorder="1" applyAlignment="1">
      <alignment horizontal="left" vertical="center"/>
    </xf>
    <xf numFmtId="0" fontId="0" fillId="0" borderId="0" xfId="0" applyAlignment="1">
      <alignment vertical="center"/>
    </xf>
    <xf numFmtId="0" fontId="7" fillId="0" borderId="0" xfId="0" quotePrefix="1" applyFont="1" applyFill="1" applyAlignment="1">
      <alignment horizontal="right"/>
    </xf>
    <xf numFmtId="0" fontId="7" fillId="0" borderId="0" xfId="0" quotePrefix="1" applyFont="1" applyAlignment="1">
      <alignment horizontal="right"/>
    </xf>
    <xf numFmtId="0" fontId="25" fillId="0" borderId="2" xfId="4" applyFont="1" applyFill="1" applyBorder="1" applyAlignment="1" applyProtection="1">
      <alignment horizontal="center" vertical="center" wrapText="1"/>
      <protection hidden="1"/>
    </xf>
    <xf numFmtId="0" fontId="25" fillId="0" borderId="6" xfId="4" applyFont="1" applyFill="1" applyBorder="1" applyAlignment="1" applyProtection="1">
      <alignment horizontal="center" vertical="center" wrapText="1"/>
      <protection hidden="1"/>
    </xf>
    <xf numFmtId="0" fontId="6" fillId="0" borderId="0" xfId="0" applyFont="1" applyFill="1" applyProtection="1"/>
    <xf numFmtId="0" fontId="0" fillId="0" borderId="0" xfId="0" applyProtection="1"/>
    <xf numFmtId="0" fontId="25" fillId="2" borderId="2" xfId="4" applyFont="1" applyFill="1" applyBorder="1" applyAlignment="1" applyProtection="1">
      <alignment horizontal="center" vertical="center" wrapText="1"/>
      <protection hidden="1"/>
    </xf>
    <xf numFmtId="0" fontId="25" fillId="2" borderId="2" xfId="4" quotePrefix="1" applyFont="1" applyFill="1" applyBorder="1" applyAlignment="1" applyProtection="1">
      <alignment horizontal="center" vertical="center" wrapText="1"/>
      <protection hidden="1"/>
    </xf>
    <xf numFmtId="0" fontId="24" fillId="2" borderId="2" xfId="4" applyFont="1" applyFill="1" applyBorder="1" applyAlignment="1" applyProtection="1">
      <alignment vertical="center"/>
      <protection hidden="1"/>
    </xf>
    <xf numFmtId="0" fontId="25" fillId="2" borderId="2" xfId="4" quotePrefix="1" applyFont="1" applyFill="1" applyBorder="1" applyAlignment="1" applyProtection="1">
      <alignment horizontal="center" vertical="center"/>
      <protection hidden="1"/>
    </xf>
    <xf numFmtId="0" fontId="25" fillId="2" borderId="4" xfId="4" applyFont="1" applyFill="1" applyBorder="1" applyAlignment="1" applyProtection="1">
      <alignment horizontal="center" vertical="center"/>
      <protection hidden="1"/>
    </xf>
    <xf numFmtId="0" fontId="38" fillId="0" borderId="4" xfId="4" applyFont="1" applyFill="1" applyBorder="1" applyAlignment="1" applyProtection="1">
      <alignment horizontal="center" vertical="center"/>
    </xf>
    <xf numFmtId="0" fontId="0" fillId="0" borderId="0" xfId="0" applyAlignment="1"/>
    <xf numFmtId="0" fontId="6" fillId="0" borderId="0" xfId="0" applyFont="1" applyAlignme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24" fillId="0" borderId="5" xfId="4" applyFont="1" applyBorder="1" applyAlignment="1">
      <alignment horizontal="center" vertical="center"/>
    </xf>
    <xf numFmtId="0" fontId="8" fillId="0" borderId="5" xfId="4" applyFont="1" applyBorder="1" applyAlignment="1">
      <alignment vertical="center"/>
    </xf>
    <xf numFmtId="0" fontId="38" fillId="0" borderId="5" xfId="4" applyFont="1" applyBorder="1" applyAlignment="1">
      <alignment horizontal="center" vertical="center"/>
    </xf>
    <xf numFmtId="49" fontId="7" fillId="0" borderId="0" xfId="0" applyNumberFormat="1" applyFont="1" applyFill="1" applyAlignment="1" applyProtection="1">
      <alignment horizontal="center"/>
    </xf>
    <xf numFmtId="0" fontId="14" fillId="0" borderId="9" xfId="0" applyFont="1" applyFill="1" applyBorder="1" applyAlignment="1" applyProtection="1">
      <alignment horizontal="center"/>
    </xf>
    <xf numFmtId="0" fontId="0" fillId="0" borderId="0" xfId="0" applyAlignment="1" applyProtection="1"/>
    <xf numFmtId="0" fontId="7" fillId="0" borderId="0" xfId="0" applyFont="1" applyFill="1" applyAlignment="1" applyProtection="1"/>
    <xf numFmtId="3" fontId="7" fillId="0" borderId="9" xfId="0" applyNumberFormat="1" applyFont="1" applyFill="1" applyBorder="1" applyAlignment="1" applyProtection="1">
      <alignment horizontal="center"/>
    </xf>
    <xf numFmtId="4" fontId="6" fillId="0" borderId="0" xfId="0" applyNumberFormat="1" applyFont="1" applyFill="1" applyProtection="1"/>
    <xf numFmtId="3" fontId="13" fillId="0" borderId="0" xfId="1" applyNumberFormat="1" applyFont="1" applyFill="1" applyProtection="1"/>
    <xf numFmtId="165" fontId="23" fillId="0" borderId="0" xfId="0" applyNumberFormat="1" applyFont="1" applyFill="1" applyBorder="1" applyAlignment="1" applyProtection="1">
      <alignment vertical="center"/>
    </xf>
    <xf numFmtId="0" fontId="31" fillId="0" borderId="0" xfId="7" applyFont="1" applyFill="1" applyBorder="1" applyAlignment="1" applyProtection="1">
      <alignment vertical="center" wrapText="1"/>
    </xf>
    <xf numFmtId="0" fontId="43" fillId="0" borderId="0" xfId="2"/>
    <xf numFmtId="165" fontId="23" fillId="0" borderId="0" xfId="6" applyNumberFormat="1" applyFont="1" applyFill="1" applyBorder="1" applyAlignment="1" applyProtection="1">
      <alignment vertical="center"/>
    </xf>
    <xf numFmtId="0" fontId="6" fillId="0" borderId="0" xfId="0" applyFont="1" applyProtection="1"/>
    <xf numFmtId="0" fontId="11" fillId="0" borderId="0" xfId="0" applyFont="1" applyAlignment="1" applyProtection="1">
      <alignment horizontal="center"/>
    </xf>
    <xf numFmtId="1" fontId="5" fillId="0" borderId="0" xfId="7" applyNumberFormat="1" applyFont="1" applyFill="1" applyBorder="1" applyAlignment="1" applyProtection="1">
      <alignment horizontal="left" vertical="center"/>
    </xf>
    <xf numFmtId="0" fontId="8" fillId="0" borderId="0" xfId="0" applyFont="1" applyAlignment="1">
      <alignment horizontal="left" wrapText="1"/>
    </xf>
    <xf numFmtId="0" fontId="45" fillId="0" borderId="0" xfId="0" applyFont="1" applyProtection="1">
      <protection hidden="1"/>
    </xf>
    <xf numFmtId="0" fontId="46" fillId="0" borderId="0" xfId="0" applyFont="1"/>
    <xf numFmtId="0" fontId="46" fillId="0" borderId="0" xfId="0" applyFont="1" applyProtection="1">
      <protection hidden="1"/>
    </xf>
    <xf numFmtId="49" fontId="45" fillId="0" borderId="0" xfId="0" applyNumberFormat="1" applyFont="1" applyAlignment="1">
      <alignment vertical="center"/>
    </xf>
    <xf numFmtId="49" fontId="45" fillId="0" borderId="0" xfId="0" applyNumberFormat="1" applyFont="1" applyAlignment="1">
      <alignment vertical="top"/>
    </xf>
    <xf numFmtId="0" fontId="0" fillId="0" borderId="0" xfId="0" applyAlignment="1">
      <alignment vertical="center" wrapText="1"/>
    </xf>
    <xf numFmtId="0" fontId="45" fillId="0" borderId="0" xfId="0" applyFont="1" applyAlignment="1" applyProtection="1">
      <alignment vertical="center"/>
      <protection hidden="1"/>
    </xf>
    <xf numFmtId="0" fontId="6" fillId="0" borderId="0" xfId="0" applyFont="1" applyAlignment="1" applyProtection="1">
      <alignment vertical="center"/>
      <protection hidden="1"/>
    </xf>
    <xf numFmtId="0" fontId="0" fillId="0" borderId="0" xfId="0" applyAlignment="1" applyProtection="1">
      <alignment vertical="center"/>
    </xf>
    <xf numFmtId="0" fontId="6" fillId="0" borderId="0" xfId="0" applyFont="1" applyAlignment="1" applyProtection="1">
      <alignment vertical="center" wrapText="1"/>
      <protection hidden="1"/>
    </xf>
    <xf numFmtId="0" fontId="47" fillId="0" borderId="0" xfId="0" applyFont="1" applyAlignment="1" applyProtection="1">
      <alignment horizontal="center" vertical="center" wrapText="1"/>
      <protection hidden="1"/>
    </xf>
    <xf numFmtId="0" fontId="27" fillId="0" borderId="0" xfId="0" quotePrefix="1" applyFont="1" applyAlignment="1" applyProtection="1">
      <alignment horizontal="center" vertical="center"/>
      <protection hidden="1"/>
    </xf>
    <xf numFmtId="49" fontId="0" fillId="0" borderId="0" xfId="0" applyNumberFormat="1" applyAlignment="1" applyProtection="1">
      <alignment vertical="center" wrapText="1"/>
    </xf>
    <xf numFmtId="166" fontId="6" fillId="0" borderId="0" xfId="0" applyNumberFormat="1" applyFont="1" applyFill="1" applyBorder="1" applyAlignment="1" applyProtection="1">
      <alignment vertical="center"/>
    </xf>
    <xf numFmtId="16" fontId="16" fillId="0" borderId="0" xfId="4" applyNumberFormat="1"/>
    <xf numFmtId="0" fontId="48" fillId="0" borderId="4" xfId="4" applyFont="1" applyFill="1" applyBorder="1" applyAlignment="1" applyProtection="1">
      <alignment horizontal="center" vertical="center"/>
      <protection hidden="1"/>
    </xf>
    <xf numFmtId="0" fontId="49" fillId="0" borderId="0" xfId="4" applyFont="1"/>
    <xf numFmtId="0" fontId="28" fillId="0" borderId="0" xfId="8"/>
    <xf numFmtId="0" fontId="3" fillId="0" borderId="0" xfId="9"/>
    <xf numFmtId="1" fontId="28" fillId="0" borderId="0" xfId="8" applyNumberFormat="1" applyFont="1" applyAlignment="1">
      <alignment horizontal="center"/>
    </xf>
    <xf numFmtId="0" fontId="28" fillId="0" borderId="11" xfId="8" applyBorder="1"/>
    <xf numFmtId="0" fontId="28" fillId="0" borderId="12" xfId="8" applyBorder="1"/>
    <xf numFmtId="0" fontId="28" fillId="0" borderId="15" xfId="8" applyBorder="1"/>
    <xf numFmtId="0" fontId="28" fillId="0" borderId="16" xfId="8" applyBorder="1"/>
    <xf numFmtId="170" fontId="28" fillId="0" borderId="0" xfId="8" applyNumberFormat="1" applyBorder="1"/>
    <xf numFmtId="0" fontId="3" fillId="0" borderId="0" xfId="9" applyAlignment="1">
      <alignment horizontal="center"/>
    </xf>
    <xf numFmtId="0" fontId="28" fillId="0" borderId="0" xfId="8" applyFont="1"/>
    <xf numFmtId="0" fontId="3" fillId="0" borderId="0" xfId="9" applyFont="1"/>
    <xf numFmtId="170" fontId="28" fillId="0" borderId="0" xfId="8" applyNumberFormat="1" applyFont="1" applyBorder="1"/>
    <xf numFmtId="0" fontId="0" fillId="0" borderId="0" xfId="0" applyAlignment="1" applyProtection="1">
      <alignment vertical="top"/>
    </xf>
    <xf numFmtId="0" fontId="0" fillId="0" borderId="0" xfId="0" applyAlignment="1" applyProtection="1">
      <alignment vertical="top" wrapText="1"/>
    </xf>
    <xf numFmtId="166" fontId="22" fillId="0" borderId="0" xfId="7" applyNumberFormat="1" applyFont="1" applyFill="1" applyBorder="1" applyAlignment="1">
      <alignment horizontal="center" vertical="center" wrapText="1"/>
    </xf>
    <xf numFmtId="166" fontId="34" fillId="0" borderId="0" xfId="7" applyNumberFormat="1" applyFont="1" applyFill="1" applyBorder="1" applyAlignment="1" applyProtection="1">
      <alignment horizontal="center" vertical="center"/>
    </xf>
    <xf numFmtId="0" fontId="29" fillId="0" borderId="0" xfId="7" applyFill="1" applyBorder="1" applyAlignment="1">
      <alignment horizontal="center"/>
    </xf>
    <xf numFmtId="0" fontId="29" fillId="0" borderId="0" xfId="7" applyAlignment="1">
      <alignment horizontal="center"/>
    </xf>
    <xf numFmtId="166" fontId="52" fillId="0" borderId="0" xfId="7" applyNumberFormat="1" applyFont="1" applyFill="1" applyBorder="1" applyAlignment="1">
      <alignment horizontal="center" vertical="center" wrapText="1"/>
    </xf>
    <xf numFmtId="0" fontId="43" fillId="0" borderId="0" xfId="0" applyFont="1" applyBorder="1"/>
    <xf numFmtId="0" fontId="43" fillId="0" borderId="0" xfId="0" applyFont="1" applyBorder="1" applyAlignment="1">
      <alignment vertical="center" wrapText="1"/>
    </xf>
    <xf numFmtId="0" fontId="6" fillId="0" borderId="0" xfId="0" applyFont="1" applyBorder="1" applyProtection="1">
      <protection hidden="1"/>
    </xf>
    <xf numFmtId="166" fontId="9" fillId="0" borderId="0" xfId="4" applyNumberFormat="1" applyFont="1" applyFill="1" applyAlignment="1">
      <alignment vertical="center"/>
    </xf>
    <xf numFmtId="0" fontId="57" fillId="0" borderId="0" xfId="4" applyFont="1" applyFill="1" applyAlignment="1">
      <alignment vertical="center" wrapText="1"/>
    </xf>
    <xf numFmtId="1" fontId="11" fillId="0" borderId="0" xfId="7" applyNumberFormat="1" applyFont="1" applyFill="1" applyBorder="1" applyAlignment="1" applyProtection="1">
      <alignment horizontal="left" vertical="center"/>
    </xf>
    <xf numFmtId="0" fontId="53" fillId="0" borderId="0" xfId="0" applyFont="1"/>
    <xf numFmtId="168" fontId="59" fillId="0" borderId="0" xfId="0" applyNumberFormat="1" applyFont="1" applyFill="1" applyAlignment="1" applyProtection="1">
      <alignment vertical="center"/>
      <protection hidden="1"/>
    </xf>
    <xf numFmtId="0" fontId="7" fillId="0" borderId="0" xfId="0" applyFont="1"/>
    <xf numFmtId="0" fontId="0" fillId="0" borderId="0" xfId="0" applyAlignment="1" applyProtection="1">
      <alignment vertical="center" wrapText="1"/>
    </xf>
    <xf numFmtId="0" fontId="61" fillId="0" borderId="1" xfId="0" applyFont="1" applyBorder="1" applyAlignment="1" applyProtection="1">
      <alignment horizontal="center"/>
    </xf>
    <xf numFmtId="167" fontId="22" fillId="0" borderId="0" xfId="4" applyNumberFormat="1" applyFont="1" applyFill="1" applyBorder="1" applyAlignment="1" applyProtection="1">
      <alignment vertical="center"/>
      <protection locked="0"/>
    </xf>
    <xf numFmtId="0" fontId="42"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15" fillId="0" borderId="0" xfId="0" applyFont="1" applyAlignment="1" applyProtection="1">
      <protection hidden="1"/>
    </xf>
    <xf numFmtId="0" fontId="54" fillId="0" borderId="0" xfId="0" applyFont="1" applyAlignment="1" applyProtection="1">
      <alignment vertical="center" wrapText="1"/>
      <protection hidden="1"/>
    </xf>
    <xf numFmtId="173" fontId="0" fillId="0" borderId="0" xfId="0" applyNumberFormat="1" applyBorder="1" applyAlignment="1" applyProtection="1">
      <alignment horizontal="center" vertical="center" wrapText="1"/>
    </xf>
    <xf numFmtId="0" fontId="23" fillId="0" borderId="0" xfId="4" applyFont="1" applyFill="1" applyBorder="1" applyAlignment="1" applyProtection="1">
      <alignment horizontal="center" vertical="center"/>
    </xf>
    <xf numFmtId="0" fontId="52" fillId="0" borderId="0" xfId="0" applyFont="1" applyBorder="1"/>
    <xf numFmtId="49" fontId="0" fillId="0" borderId="0" xfId="0" applyNumberFormat="1" applyBorder="1"/>
    <xf numFmtId="0" fontId="45" fillId="0" borderId="0" xfId="0" applyFont="1"/>
    <xf numFmtId="0" fontId="0" fillId="0" borderId="19" xfId="0" applyBorder="1" applyAlignment="1">
      <alignment horizontal="center"/>
    </xf>
    <xf numFmtId="0" fontId="0" fillId="0" borderId="21" xfId="0" applyBorder="1" applyAlignment="1">
      <alignment horizontal="center"/>
    </xf>
    <xf numFmtId="0" fontId="50" fillId="0" borderId="0" xfId="7" applyFont="1" applyFill="1" applyBorder="1" applyAlignment="1" applyProtection="1">
      <alignment vertical="center"/>
    </xf>
    <xf numFmtId="0" fontId="58" fillId="0" borderId="0" xfId="0" applyFont="1" applyAlignment="1">
      <alignment horizontal="left" wrapText="1"/>
    </xf>
    <xf numFmtId="0" fontId="65" fillId="0" borderId="0" xfId="0" applyFont="1" applyAlignment="1" applyProtection="1">
      <alignment horizontal="left" vertical="top"/>
      <protection hidden="1"/>
    </xf>
    <xf numFmtId="0" fontId="18" fillId="0" borderId="0" xfId="0" applyFont="1" applyFill="1" applyBorder="1" applyAlignment="1" applyProtection="1">
      <alignment horizontal="center" vertical="top"/>
      <protection locked="0"/>
    </xf>
    <xf numFmtId="0" fontId="0" fillId="0" borderId="0" xfId="0" applyFill="1" applyAlignment="1">
      <alignment horizontal="center"/>
    </xf>
    <xf numFmtId="0" fontId="45" fillId="0" borderId="0" xfId="0" applyFont="1" applyBorder="1" applyAlignment="1" applyProtection="1">
      <alignment vertical="top" wrapText="1"/>
      <protection hidden="1"/>
    </xf>
    <xf numFmtId="169" fontId="59" fillId="0" borderId="0" xfId="0" applyNumberFormat="1" applyFont="1" applyFill="1" applyBorder="1" applyAlignment="1" applyProtection="1">
      <alignment vertical="center"/>
    </xf>
    <xf numFmtId="0" fontId="62" fillId="0" borderId="0" xfId="0" applyFont="1" applyAlignment="1"/>
    <xf numFmtId="0" fontId="67" fillId="0" borderId="0" xfId="0" applyFont="1"/>
    <xf numFmtId="0" fontId="68" fillId="0" borderId="0" xfId="0" applyFont="1"/>
    <xf numFmtId="0" fontId="69" fillId="0" borderId="0" xfId="0" applyFont="1" applyBorder="1"/>
    <xf numFmtId="0" fontId="69" fillId="0" borderId="0" xfId="0" applyFont="1" applyBorder="1" applyAlignment="1">
      <alignment vertical="center" wrapText="1"/>
    </xf>
    <xf numFmtId="166" fontId="50" fillId="0" borderId="0" xfId="7" applyNumberFormat="1" applyFont="1" applyFill="1" applyBorder="1" applyAlignment="1" applyProtection="1">
      <alignment vertical="center"/>
    </xf>
    <xf numFmtId="166" fontId="70" fillId="0" borderId="0" xfId="7" applyNumberFormat="1" applyFont="1" applyFill="1" applyBorder="1" applyAlignment="1" applyProtection="1">
      <alignment vertical="center"/>
    </xf>
    <xf numFmtId="0" fontId="11" fillId="0" borderId="0" xfId="7" applyFont="1" applyFill="1" applyBorder="1" applyAlignment="1" applyProtection="1">
      <alignment horizontal="left" vertical="center"/>
    </xf>
    <xf numFmtId="174" fontId="52" fillId="0" borderId="0" xfId="0" applyNumberFormat="1" applyFont="1" applyBorder="1"/>
    <xf numFmtId="0" fontId="0" fillId="0" borderId="0" xfId="0" applyNumberFormat="1"/>
    <xf numFmtId="0" fontId="45" fillId="0" borderId="0" xfId="0" applyNumberFormat="1" applyFont="1"/>
    <xf numFmtId="0" fontId="45" fillId="0" borderId="0" xfId="0" applyFont="1" applyBorder="1" applyAlignment="1" applyProtection="1">
      <alignment vertical="center" wrapText="1"/>
      <protection hidden="1"/>
    </xf>
    <xf numFmtId="0" fontId="44" fillId="0" borderId="0" xfId="0" applyFont="1" applyBorder="1"/>
    <xf numFmtId="49" fontId="44" fillId="0" borderId="0" xfId="0" applyNumberFormat="1" applyFont="1" applyBorder="1"/>
    <xf numFmtId="0" fontId="54" fillId="0" borderId="0" xfId="0" applyFont="1" applyAlignment="1" applyProtection="1">
      <alignment vertical="top" wrapText="1"/>
      <protection hidden="1"/>
    </xf>
    <xf numFmtId="0" fontId="44" fillId="0" borderId="0" xfId="0" applyFont="1"/>
    <xf numFmtId="0" fontId="71" fillId="0" borderId="0" xfId="0" applyFont="1"/>
    <xf numFmtId="0" fontId="0" fillId="0" borderId="0" xfId="0" applyFont="1"/>
    <xf numFmtId="169" fontId="45" fillId="0" borderId="0" xfId="0" applyNumberFormat="1" applyFont="1" applyFill="1" applyBorder="1" applyAlignment="1" applyProtection="1">
      <alignment vertical="center"/>
    </xf>
    <xf numFmtId="168" fontId="45" fillId="0" borderId="0" xfId="0" applyNumberFormat="1" applyFont="1" applyFill="1" applyAlignment="1" applyProtection="1">
      <alignment vertical="center"/>
      <protection hidden="1"/>
    </xf>
    <xf numFmtId="3" fontId="11" fillId="6" borderId="1" xfId="0" applyNumberFormat="1" applyFont="1" applyFill="1" applyBorder="1" applyAlignment="1" applyProtection="1">
      <alignment horizontal="center"/>
      <protection locked="0"/>
    </xf>
    <xf numFmtId="0" fontId="54" fillId="0" borderId="0" xfId="0" applyFont="1" applyBorder="1" applyAlignment="1">
      <alignment vertical="top"/>
    </xf>
    <xf numFmtId="4" fontId="23" fillId="6" borderId="1" xfId="0" applyNumberFormat="1" applyFont="1" applyFill="1" applyBorder="1" applyAlignment="1" applyProtection="1">
      <alignment vertical="center"/>
      <protection locked="0"/>
    </xf>
    <xf numFmtId="0" fontId="24" fillId="0" borderId="0" xfId="7" applyFont="1" applyFill="1" applyBorder="1" applyAlignment="1">
      <alignment horizontal="center" vertical="top" wrapText="1"/>
    </xf>
    <xf numFmtId="166" fontId="23" fillId="0" borderId="0" xfId="7" applyNumberFormat="1" applyFont="1" applyFill="1" applyBorder="1" applyAlignment="1">
      <alignment horizontal="center" vertical="top" wrapText="1"/>
    </xf>
    <xf numFmtId="0" fontId="29" fillId="0" borderId="0" xfId="7" applyAlignment="1">
      <alignment vertical="top"/>
    </xf>
    <xf numFmtId="49" fontId="0" fillId="0" borderId="21" xfId="0" applyNumberFormat="1" applyFont="1" applyBorder="1" applyAlignment="1">
      <alignment horizontal="center"/>
    </xf>
    <xf numFmtId="0" fontId="5" fillId="0" borderId="0" xfId="7" applyFont="1" applyFill="1" applyBorder="1" applyAlignment="1">
      <alignment horizontal="left"/>
    </xf>
    <xf numFmtId="166" fontId="18" fillId="0" borderId="0" xfId="7" applyNumberFormat="1" applyFont="1" applyFill="1" applyBorder="1" applyAlignment="1" applyProtection="1"/>
    <xf numFmtId="166" fontId="39" fillId="0" borderId="0" xfId="7" applyNumberFormat="1" applyFont="1" applyFill="1" applyBorder="1" applyAlignment="1" applyProtection="1"/>
    <xf numFmtId="166" fontId="23" fillId="0" borderId="0" xfId="7" quotePrefix="1" applyNumberFormat="1" applyFont="1" applyFill="1" applyBorder="1" applyAlignment="1" applyProtection="1">
      <alignment horizontal="right"/>
    </xf>
    <xf numFmtId="166" fontId="22" fillId="0" borderId="0" xfId="7" applyNumberFormat="1" applyFont="1" applyFill="1" applyBorder="1" applyAlignment="1" applyProtection="1"/>
    <xf numFmtId="0" fontId="52" fillId="0" borderId="0" xfId="7" applyFont="1" applyFill="1" applyBorder="1" applyAlignment="1">
      <alignment horizontal="left"/>
    </xf>
    <xf numFmtId="0" fontId="14" fillId="0" borderId="0" xfId="7" applyFont="1" applyFill="1" applyBorder="1" applyAlignment="1">
      <alignment horizontal="left"/>
    </xf>
    <xf numFmtId="1" fontId="5" fillId="0" borderId="0" xfId="7" applyNumberFormat="1" applyFont="1" applyFill="1" applyBorder="1" applyAlignment="1" applyProtection="1">
      <alignment horizontal="left"/>
    </xf>
    <xf numFmtId="0" fontId="41" fillId="0" borderId="0" xfId="7" applyFont="1" applyAlignment="1"/>
    <xf numFmtId="0" fontId="72" fillId="0" borderId="0" xfId="7" applyFont="1" applyFill="1" applyBorder="1" applyAlignment="1">
      <alignment horizontal="left" vertical="center"/>
    </xf>
    <xf numFmtId="166" fontId="39" fillId="0" borderId="0" xfId="7" applyNumberFormat="1" applyFont="1" applyFill="1" applyBorder="1" applyAlignment="1" applyProtection="1">
      <alignment horizontal="left"/>
    </xf>
    <xf numFmtId="166" fontId="39" fillId="0" borderId="0" xfId="7" applyNumberFormat="1" applyFont="1" applyFill="1" applyBorder="1" applyAlignment="1" applyProtection="1">
      <alignment horizontal="left" vertical="center"/>
    </xf>
    <xf numFmtId="0" fontId="47" fillId="0" borderId="0" xfId="0" applyFont="1" applyAlignment="1" applyProtection="1">
      <alignment vertical="center"/>
      <protection hidden="1"/>
    </xf>
    <xf numFmtId="172" fontId="8" fillId="6" borderId="7" xfId="4" applyNumberFormat="1" applyFont="1" applyFill="1" applyBorder="1" applyAlignment="1" applyProtection="1">
      <alignment vertical="center"/>
      <protection locked="0"/>
    </xf>
    <xf numFmtId="166" fontId="8" fillId="0" borderId="0" xfId="0" applyNumberFormat="1" applyFont="1" applyFill="1" applyBorder="1" applyAlignment="1" applyProtection="1">
      <alignment vertical="center"/>
    </xf>
    <xf numFmtId="172" fontId="8" fillId="6" borderId="7" xfId="4" applyNumberFormat="1" applyFont="1" applyFill="1" applyBorder="1" applyAlignment="1" applyProtection="1">
      <alignment horizontal="right" vertical="center"/>
      <protection locked="0"/>
    </xf>
    <xf numFmtId="1" fontId="8" fillId="6" borderId="7" xfId="4" applyNumberFormat="1" applyFont="1" applyFill="1" applyBorder="1" applyAlignment="1" applyProtection="1">
      <alignment horizontal="center" vertical="center"/>
      <protection locked="0"/>
    </xf>
    <xf numFmtId="0" fontId="73" fillId="0" borderId="0" xfId="0" applyFont="1" applyAlignment="1">
      <alignment vertical="center"/>
    </xf>
    <xf numFmtId="0" fontId="0" fillId="0" borderId="0" xfId="0" applyFont="1" applyAlignment="1">
      <alignment vertical="center"/>
    </xf>
    <xf numFmtId="0" fontId="0" fillId="0" borderId="0" xfId="0" applyFont="1" applyAlignment="1" applyProtection="1">
      <alignment vertical="center"/>
      <protection hidden="1"/>
    </xf>
    <xf numFmtId="0" fontId="0" fillId="0" borderId="0" xfId="0" applyFont="1" applyAlignment="1">
      <alignment horizontal="center" vertical="center" wrapText="1"/>
    </xf>
    <xf numFmtId="0" fontId="45" fillId="0" borderId="0" xfId="0" applyFont="1" applyAlignment="1">
      <alignment vertical="center"/>
    </xf>
    <xf numFmtId="2" fontId="0" fillId="0" borderId="0" xfId="0" applyNumberFormat="1" applyFont="1" applyAlignment="1" applyProtection="1">
      <alignment horizontal="center" vertical="center"/>
    </xf>
    <xf numFmtId="0" fontId="0" fillId="0" borderId="0" xfId="0" applyFont="1" applyAlignment="1">
      <alignment vertical="center" wrapText="1"/>
    </xf>
    <xf numFmtId="0" fontId="0" fillId="0" borderId="0" xfId="0" applyAlignment="1">
      <alignment horizontal="left"/>
    </xf>
    <xf numFmtId="2" fontId="0" fillId="0" borderId="0" xfId="0" applyNumberFormat="1" applyAlignment="1">
      <alignment vertical="center"/>
    </xf>
    <xf numFmtId="0" fontId="23" fillId="0" borderId="28" xfId="4" applyFont="1" applyFill="1" applyBorder="1" applyAlignment="1" applyProtection="1">
      <alignment horizontal="center" vertical="center"/>
    </xf>
    <xf numFmtId="0" fontId="23" fillId="0" borderId="21" xfId="4" applyFont="1" applyBorder="1" applyAlignment="1" applyProtection="1">
      <alignment horizontal="center" vertical="center"/>
      <protection hidden="1"/>
    </xf>
    <xf numFmtId="170" fontId="44" fillId="0" borderId="0" xfId="0" applyNumberFormat="1" applyFont="1" applyAlignment="1">
      <alignment horizontal="center"/>
    </xf>
    <xf numFmtId="0" fontId="11" fillId="0" borderId="44" xfId="4" applyFont="1" applyFill="1" applyBorder="1" applyAlignment="1" applyProtection="1">
      <alignment horizontal="center" vertical="center"/>
    </xf>
    <xf numFmtId="0" fontId="0" fillId="0" borderId="0" xfId="0" applyAlignment="1">
      <alignment vertical="center"/>
    </xf>
    <xf numFmtId="0" fontId="8" fillId="0" borderId="0" xfId="0" applyFont="1" applyAlignment="1">
      <alignment horizontal="left" wrapText="1"/>
    </xf>
    <xf numFmtId="0" fontId="6" fillId="0" borderId="0" xfId="0" applyFont="1" applyFill="1" applyAlignment="1">
      <alignment horizontal="center" vertical="center"/>
    </xf>
    <xf numFmtId="175" fontId="7" fillId="0" borderId="0" xfId="0" applyNumberFormat="1" applyFont="1" applyFill="1" applyBorder="1" applyAlignment="1" applyProtection="1">
      <alignment horizontal="center" vertical="center"/>
    </xf>
    <xf numFmtId="4" fontId="8" fillId="0" borderId="0" xfId="0" applyNumberFormat="1" applyFont="1" applyFill="1" applyAlignment="1" applyProtection="1">
      <alignment horizontal="center"/>
      <protection hidden="1"/>
    </xf>
    <xf numFmtId="165" fontId="11" fillId="0" borderId="0" xfId="0" applyNumberFormat="1" applyFont="1" applyFill="1" applyBorder="1" applyAlignment="1" applyProtection="1">
      <alignment horizontal="center"/>
    </xf>
    <xf numFmtId="0" fontId="8" fillId="0" borderId="0" xfId="0" applyFont="1" applyFill="1" applyAlignment="1" applyProtection="1">
      <alignment horizontal="center"/>
      <protection hidden="1"/>
    </xf>
    <xf numFmtId="0" fontId="8" fillId="0" borderId="0" xfId="0" applyFont="1" applyFill="1" applyAlignment="1" applyProtection="1">
      <alignment horizontal="center"/>
    </xf>
    <xf numFmtId="0" fontId="8" fillId="0" borderId="9" xfId="0" applyFont="1" applyFill="1" applyBorder="1" applyAlignment="1" applyProtection="1">
      <alignment horizontal="center"/>
      <protection hidden="1"/>
    </xf>
    <xf numFmtId="0" fontId="0" fillId="0" borderId="0" xfId="0" applyAlignment="1" applyProtection="1">
      <alignment horizontal="left" vertical="center"/>
    </xf>
    <xf numFmtId="170" fontId="11" fillId="0" borderId="0" xfId="0" applyNumberFormat="1" applyFont="1" applyFill="1" applyAlignment="1" applyProtection="1">
      <alignment vertical="center"/>
      <protection hidden="1"/>
    </xf>
    <xf numFmtId="170" fontId="8" fillId="0" borderId="0" xfId="0" applyNumberFormat="1" applyFont="1"/>
    <xf numFmtId="170" fontId="8" fillId="0" borderId="9" xfId="0" applyNumberFormat="1" applyFont="1" applyBorder="1"/>
    <xf numFmtId="170" fontId="11" fillId="0" borderId="1" xfId="0" applyNumberFormat="1" applyFont="1" applyFill="1" applyBorder="1" applyAlignment="1" applyProtection="1">
      <alignment horizontal="center" vertical="center"/>
    </xf>
    <xf numFmtId="4" fontId="8" fillId="0" borderId="1" xfId="0" applyNumberFormat="1" applyFont="1" applyFill="1" applyBorder="1" applyAlignment="1">
      <alignment horizontal="center" vertical="center"/>
    </xf>
    <xf numFmtId="166" fontId="6" fillId="0" borderId="0" xfId="0" applyNumberFormat="1" applyFont="1" applyFill="1" applyBorder="1" applyAlignment="1">
      <alignment vertical="center"/>
    </xf>
    <xf numFmtId="166" fontId="6" fillId="0" borderId="0" xfId="0" applyNumberFormat="1" applyFont="1" applyFill="1" applyAlignment="1" applyProtection="1">
      <alignment vertical="center"/>
    </xf>
    <xf numFmtId="177" fontId="8" fillId="0" borderId="1" xfId="0" applyNumberFormat="1" applyFont="1" applyFill="1" applyBorder="1" applyAlignment="1">
      <alignment horizontal="center" vertical="center"/>
    </xf>
    <xf numFmtId="4" fontId="8" fillId="0" borderId="9" xfId="0" applyNumberFormat="1" applyFont="1" applyFill="1" applyBorder="1" applyAlignment="1">
      <alignment horizontal="center" vertical="center"/>
    </xf>
    <xf numFmtId="4" fontId="8" fillId="0" borderId="0" xfId="0" applyNumberFormat="1" applyFont="1" applyFill="1" applyBorder="1" applyAlignment="1">
      <alignment horizontal="center" vertical="center"/>
    </xf>
    <xf numFmtId="4" fontId="0" fillId="0" borderId="0" xfId="0" applyNumberFormat="1"/>
    <xf numFmtId="170" fontId="16" fillId="0" borderId="0" xfId="4" applyNumberFormat="1"/>
    <xf numFmtId="176" fontId="19" fillId="0" borderId="0" xfId="4" applyNumberFormat="1" applyFont="1" applyFill="1" applyAlignment="1">
      <alignment vertical="center"/>
    </xf>
    <xf numFmtId="0" fontId="0" fillId="0" borderId="0" xfId="0" applyAlignment="1">
      <alignment horizontal="left" vertical="top"/>
    </xf>
    <xf numFmtId="0" fontId="45" fillId="0" borderId="0" xfId="0" applyFont="1" applyAlignment="1" applyProtection="1">
      <alignment vertical="top" wrapText="1"/>
      <protection hidden="1"/>
    </xf>
    <xf numFmtId="0" fontId="45" fillId="0" borderId="0" xfId="0" applyFont="1" applyAlignment="1" applyProtection="1">
      <alignment vertical="center" wrapText="1"/>
      <protection hidden="1"/>
    </xf>
    <xf numFmtId="0" fontId="0" fillId="0" borderId="0" xfId="0" applyAlignment="1">
      <alignment vertical="center"/>
    </xf>
    <xf numFmtId="0" fontId="45" fillId="0" borderId="0" xfId="0" applyFont="1" applyAlignment="1">
      <alignment vertical="center" wrapText="1"/>
    </xf>
    <xf numFmtId="1" fontId="45" fillId="0" borderId="0" xfId="7" applyNumberFormat="1" applyFont="1" applyFill="1" applyBorder="1" applyAlignment="1" applyProtection="1">
      <alignment horizontal="left" vertical="center" wrapText="1"/>
    </xf>
    <xf numFmtId="0" fontId="0" fillId="0" borderId="0" xfId="0" applyAlignment="1">
      <alignment vertical="center" wrapText="1"/>
    </xf>
    <xf numFmtId="0" fontId="0" fillId="0" borderId="0" xfId="0" applyFont="1" applyAlignment="1">
      <alignment horizontal="left" wrapText="1"/>
    </xf>
    <xf numFmtId="0" fontId="47" fillId="0" borderId="0" xfId="0" applyFont="1" applyBorder="1" applyAlignment="1">
      <alignment horizontal="left" wrapText="1"/>
    </xf>
    <xf numFmtId="0" fontId="47" fillId="0" borderId="0" xfId="0" applyFont="1" applyBorder="1" applyAlignment="1">
      <alignment vertical="top"/>
    </xf>
    <xf numFmtId="0" fontId="61" fillId="0" borderId="0" xfId="0" applyFont="1" applyBorder="1" applyAlignment="1">
      <alignment vertical="center"/>
    </xf>
    <xf numFmtId="170" fontId="8" fillId="0" borderId="7" xfId="4" applyNumberFormat="1" applyFont="1" applyFill="1" applyBorder="1" applyAlignment="1" applyProtection="1">
      <alignment vertical="center"/>
    </xf>
    <xf numFmtId="172" fontId="8" fillId="0" borderId="7" xfId="4" applyNumberFormat="1" applyFont="1" applyFill="1" applyBorder="1" applyAlignment="1" applyProtection="1">
      <alignment vertical="center"/>
    </xf>
    <xf numFmtId="0" fontId="0" fillId="0" borderId="0" xfId="0" applyFont="1" applyAlignment="1" applyProtection="1">
      <alignment vertical="center"/>
    </xf>
    <xf numFmtId="4" fontId="0" fillId="0" borderId="0" xfId="0" applyNumberFormat="1" applyFont="1" applyAlignment="1" applyProtection="1">
      <alignment vertical="center"/>
    </xf>
    <xf numFmtId="2" fontId="0" fillId="0" borderId="0" xfId="0" applyNumberFormat="1" applyFont="1" applyAlignment="1" applyProtection="1">
      <alignment vertical="center"/>
    </xf>
    <xf numFmtId="4" fontId="0" fillId="0" borderId="0" xfId="4" applyNumberFormat="1" applyFont="1" applyFill="1" applyBorder="1" applyAlignment="1" applyProtection="1">
      <alignment vertical="center"/>
    </xf>
    <xf numFmtId="170" fontId="0" fillId="0" borderId="0" xfId="0" applyNumberFormat="1" applyFont="1" applyAlignment="1" applyProtection="1">
      <alignment vertical="center"/>
    </xf>
    <xf numFmtId="0" fontId="45" fillId="0" borderId="0" xfId="0" applyFont="1" applyAlignment="1" applyProtection="1">
      <alignment vertical="center"/>
    </xf>
    <xf numFmtId="171" fontId="0" fillId="0" borderId="0" xfId="0" applyNumberFormat="1" applyFont="1" applyAlignment="1" applyProtection="1">
      <alignment vertical="center"/>
    </xf>
    <xf numFmtId="0" fontId="47" fillId="0" borderId="0" xfId="0" applyFont="1" applyAlignment="1" applyProtection="1">
      <alignment vertical="top"/>
    </xf>
    <xf numFmtId="3" fontId="55" fillId="0" borderId="0" xfId="0" applyNumberFormat="1" applyFont="1" applyFill="1" applyBorder="1" applyAlignment="1" applyProtection="1">
      <alignment horizontal="center"/>
    </xf>
    <xf numFmtId="0" fontId="13" fillId="0" borderId="0" xfId="0" applyFont="1" applyProtection="1"/>
    <xf numFmtId="0" fontId="18" fillId="0" borderId="0" xfId="0" applyFont="1" applyFill="1" applyBorder="1" applyAlignment="1" applyProtection="1">
      <alignment horizontal="center"/>
    </xf>
    <xf numFmtId="0" fontId="14" fillId="0" borderId="0" xfId="0" applyFont="1" applyProtection="1"/>
    <xf numFmtId="0" fontId="56" fillId="0" borderId="0" xfId="0" applyFont="1" applyProtection="1"/>
    <xf numFmtId="0" fontId="60" fillId="0" borderId="0" xfId="0" applyFont="1" applyFill="1" applyBorder="1" applyAlignment="1" applyProtection="1">
      <alignment horizontal="left"/>
    </xf>
    <xf numFmtId="0" fontId="18" fillId="0" borderId="0" xfId="0" applyFont="1" applyFill="1" applyBorder="1" applyAlignment="1" applyProtection="1">
      <alignment horizontal="center" vertical="top"/>
    </xf>
    <xf numFmtId="0" fontId="65" fillId="0" borderId="0" xfId="7" applyFont="1" applyFill="1" applyBorder="1" applyAlignment="1">
      <alignment horizontal="left"/>
    </xf>
    <xf numFmtId="166" fontId="74" fillId="0" borderId="0" xfId="7" applyNumberFormat="1" applyFont="1" applyFill="1" applyBorder="1" applyAlignment="1" applyProtection="1"/>
    <xf numFmtId="166" fontId="52" fillId="0" borderId="0" xfId="7" applyNumberFormat="1" applyFont="1" applyFill="1" applyBorder="1" applyAlignment="1" applyProtection="1"/>
    <xf numFmtId="0" fontId="11" fillId="0" borderId="1" xfId="0" applyFont="1" applyFill="1" applyBorder="1" applyAlignment="1" applyProtection="1">
      <alignment horizontal="center"/>
      <protection hidden="1"/>
    </xf>
    <xf numFmtId="0" fontId="44" fillId="6" borderId="7" xfId="0" applyFont="1" applyFill="1" applyBorder="1" applyAlignment="1" applyProtection="1">
      <alignment vertical="top"/>
      <protection locked="0"/>
    </xf>
    <xf numFmtId="0" fontId="44" fillId="6" borderId="7" xfId="0" applyFont="1" applyFill="1" applyBorder="1" applyProtection="1">
      <protection locked="0"/>
    </xf>
    <xf numFmtId="174" fontId="44" fillId="0" borderId="3" xfId="0" applyNumberFormat="1" applyFont="1" applyBorder="1" applyAlignment="1" applyProtection="1">
      <alignment horizontal="center" vertical="center"/>
      <protection locked="0"/>
    </xf>
    <xf numFmtId="49" fontId="44" fillId="6" borderId="7" xfId="0" applyNumberFormat="1" applyFont="1" applyFill="1" applyBorder="1" applyProtection="1">
      <protection locked="0"/>
    </xf>
    <xf numFmtId="49" fontId="44" fillId="6" borderId="3" xfId="0" applyNumberFormat="1" applyFont="1" applyFill="1" applyBorder="1" applyProtection="1">
      <protection locked="0"/>
    </xf>
    <xf numFmtId="171" fontId="22" fillId="0" borderId="0" xfId="4" applyNumberFormat="1" applyFont="1" applyFill="1" applyBorder="1" applyAlignment="1" applyProtection="1">
      <alignment vertical="center"/>
    </xf>
    <xf numFmtId="171" fontId="0" fillId="0" borderId="0" xfId="0" applyNumberFormat="1" applyAlignment="1" applyProtection="1">
      <alignment horizontal="center"/>
    </xf>
    <xf numFmtId="4" fontId="61" fillId="0" borderId="0" xfId="11" applyNumberFormat="1" applyFont="1" applyAlignment="1">
      <alignment vertical="center"/>
    </xf>
    <xf numFmtId="170" fontId="8" fillId="6" borderId="7" xfId="4" applyNumberFormat="1" applyFont="1" applyFill="1" applyBorder="1" applyAlignment="1" applyProtection="1">
      <alignment vertical="center"/>
      <protection locked="0"/>
    </xf>
    <xf numFmtId="0" fontId="45" fillId="0" borderId="0" xfId="0" applyFont="1" applyAlignment="1">
      <alignment vertical="top" wrapText="1"/>
    </xf>
    <xf numFmtId="0" fontId="23" fillId="0" borderId="28" xfId="4" applyNumberFormat="1" applyFont="1" applyFill="1" applyBorder="1" applyAlignment="1" applyProtection="1">
      <alignment horizontal="center" vertical="center"/>
    </xf>
    <xf numFmtId="0" fontId="0" fillId="0" borderId="0" xfId="0" applyAlignment="1">
      <alignment vertical="center"/>
    </xf>
    <xf numFmtId="0" fontId="13" fillId="0" borderId="0" xfId="0" applyFont="1" applyFill="1" applyBorder="1" applyAlignment="1" applyProtection="1">
      <alignment horizontal="left" vertical="top"/>
    </xf>
    <xf numFmtId="8" fontId="28" fillId="6" borderId="65" xfId="8" applyNumberFormat="1" applyFill="1" applyBorder="1" applyProtection="1">
      <protection locked="0"/>
    </xf>
    <xf numFmtId="0" fontId="75" fillId="0" borderId="0" xfId="9" applyFont="1"/>
    <xf numFmtId="0" fontId="76" fillId="0" borderId="0" xfId="9" applyFont="1"/>
    <xf numFmtId="0" fontId="6" fillId="0" borderId="0" xfId="0" applyFont="1" applyAlignment="1" applyProtection="1">
      <alignment horizontal="left" vertical="center"/>
      <protection hidden="1"/>
    </xf>
    <xf numFmtId="49" fontId="78" fillId="11" borderId="0" xfId="13" applyNumberFormat="1" applyFont="1" applyFill="1" applyBorder="1" applyAlignment="1">
      <alignment horizontal="left" vertical="center"/>
    </xf>
    <xf numFmtId="0" fontId="28" fillId="0" borderId="0" xfId="8" applyBorder="1" applyAlignment="1">
      <alignment horizontal="left"/>
    </xf>
    <xf numFmtId="0" fontId="78" fillId="0" borderId="0" xfId="13" applyFont="1" applyBorder="1" applyAlignment="1">
      <alignment horizontal="left"/>
    </xf>
    <xf numFmtId="0" fontId="78" fillId="0" borderId="0" xfId="8" applyFont="1" applyBorder="1" applyAlignment="1">
      <alignment horizontal="left"/>
    </xf>
    <xf numFmtId="0" fontId="78" fillId="0" borderId="0" xfId="13" applyFont="1" applyFill="1" applyBorder="1" applyAlignment="1">
      <alignment horizontal="left"/>
    </xf>
    <xf numFmtId="0" fontId="79" fillId="0" borderId="0" xfId="14" applyFont="1" applyBorder="1" applyAlignment="1">
      <alignment horizontal="left" vertical="center"/>
    </xf>
    <xf numFmtId="0" fontId="5" fillId="0" borderId="0" xfId="0" applyFont="1" applyAlignment="1" applyProtection="1">
      <alignment horizontal="left" vertical="center"/>
      <protection hidden="1"/>
    </xf>
    <xf numFmtId="0" fontId="28" fillId="0" borderId="0" xfId="8" applyNumberFormat="1" applyBorder="1" applyAlignment="1">
      <alignment horizontal="left"/>
    </xf>
    <xf numFmtId="179" fontId="78" fillId="0" borderId="0" xfId="13" applyNumberFormat="1" applyFont="1" applyBorder="1" applyAlignment="1">
      <alignment horizontal="left"/>
    </xf>
    <xf numFmtId="179" fontId="78" fillId="0" borderId="0" xfId="8" applyNumberFormat="1" applyFont="1" applyBorder="1" applyAlignment="1">
      <alignment horizontal="left"/>
    </xf>
    <xf numFmtId="0" fontId="78" fillId="0" borderId="0" xfId="13" applyNumberFormat="1" applyFont="1" applyBorder="1" applyAlignment="1">
      <alignment horizontal="left"/>
    </xf>
    <xf numFmtId="0" fontId="13" fillId="0" borderId="0" xfId="0" applyFont="1" applyAlignment="1" applyProtection="1">
      <alignment horizontal="left" vertical="center"/>
      <protection hidden="1"/>
    </xf>
    <xf numFmtId="0" fontId="80" fillId="0" borderId="0" xfId="0" applyFont="1" applyAlignment="1" applyProtection="1">
      <alignment horizontal="left" vertical="top"/>
      <protection hidden="1"/>
    </xf>
    <xf numFmtId="166" fontId="60" fillId="0" borderId="0" xfId="7" applyNumberFormat="1" applyFont="1" applyFill="1" applyBorder="1" applyAlignment="1" applyProtection="1">
      <alignment horizontal="left" vertical="center"/>
      <protection locked="0"/>
    </xf>
    <xf numFmtId="0" fontId="45" fillId="6" borderId="0" xfId="0" applyFont="1" applyFill="1" applyAlignment="1" applyProtection="1">
      <alignment horizontal="center" shrinkToFit="1"/>
      <protection locked="0"/>
    </xf>
    <xf numFmtId="166" fontId="60" fillId="6" borderId="72" xfId="7" applyNumberFormat="1" applyFont="1" applyFill="1" applyBorder="1" applyAlignment="1" applyProtection="1">
      <alignment horizontal="center" vertical="center"/>
      <protection locked="0"/>
    </xf>
    <xf numFmtId="166" fontId="60" fillId="6" borderId="4" xfId="7" applyNumberFormat="1" applyFont="1" applyFill="1" applyBorder="1" applyAlignment="1" applyProtection="1">
      <alignment horizontal="center" vertical="center"/>
      <protection locked="0"/>
    </xf>
    <xf numFmtId="0" fontId="31" fillId="0" borderId="0" xfId="7" applyFont="1" applyFill="1" applyBorder="1" applyAlignment="1" applyProtection="1">
      <alignment horizontal="left" vertical="center" wrapText="1"/>
      <protection locked="0"/>
    </xf>
    <xf numFmtId="166" fontId="22" fillId="0" borderId="0" xfId="7" applyNumberFormat="1" applyFont="1" applyFill="1" applyBorder="1" applyAlignment="1" applyProtection="1">
      <alignment vertical="center"/>
      <protection locked="0"/>
    </xf>
    <xf numFmtId="166" fontId="34" fillId="0" borderId="0" xfId="7" applyNumberFormat="1" applyFont="1" applyFill="1" applyBorder="1" applyAlignment="1" applyProtection="1">
      <alignment horizontal="center" vertical="center"/>
      <protection locked="0"/>
    </xf>
    <xf numFmtId="166" fontId="23" fillId="0" borderId="0" xfId="7" applyNumberFormat="1" applyFont="1" applyFill="1" applyBorder="1" applyAlignment="1" applyProtection="1">
      <alignment vertical="center"/>
      <protection locked="0"/>
    </xf>
    <xf numFmtId="0" fontId="30" fillId="0" borderId="0" xfId="7" applyFont="1" applyFill="1" applyBorder="1" applyAlignment="1" applyProtection="1">
      <alignment horizontal="left" vertical="center" wrapText="1"/>
      <protection locked="0"/>
    </xf>
    <xf numFmtId="166" fontId="33" fillId="0" borderId="0" xfId="7"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Font="1" applyAlignment="1">
      <alignment vertical="center"/>
    </xf>
    <xf numFmtId="0" fontId="0" fillId="0" borderId="0" xfId="0" applyAlignment="1" applyProtection="1">
      <alignment vertical="center"/>
    </xf>
    <xf numFmtId="0" fontId="45" fillId="0" borderId="0" xfId="0" applyFont="1" applyAlignment="1">
      <alignment vertical="center"/>
    </xf>
    <xf numFmtId="0" fontId="0" fillId="0" borderId="0" xfId="0" applyAlignment="1">
      <alignment vertical="center"/>
    </xf>
    <xf numFmtId="0" fontId="45" fillId="0" borderId="0" xfId="0" applyFont="1" applyAlignment="1" applyProtection="1">
      <alignment vertical="top"/>
    </xf>
    <xf numFmtId="170" fontId="8" fillId="0" borderId="51" xfId="4" applyNumberFormat="1" applyFont="1" applyFill="1" applyBorder="1" applyAlignment="1" applyProtection="1">
      <alignment vertical="center"/>
    </xf>
    <xf numFmtId="0" fontId="0" fillId="0" borderId="0" xfId="0" applyFont="1" applyAlignment="1">
      <alignment horizontal="center" vertical="center"/>
    </xf>
    <xf numFmtId="0" fontId="0" fillId="0" borderId="0" xfId="0" applyNumberFormat="1" applyFill="1" applyBorder="1" applyAlignment="1" applyProtection="1">
      <alignment vertical="center" wrapText="1"/>
    </xf>
    <xf numFmtId="49" fontId="0" fillId="0" borderId="0" xfId="0" applyNumberFormat="1" applyBorder="1" applyAlignment="1" applyProtection="1">
      <alignment vertical="center" wrapText="1"/>
    </xf>
    <xf numFmtId="4" fontId="23" fillId="0" borderId="1" xfId="7" applyNumberFormat="1" applyFont="1" applyFill="1" applyBorder="1" applyAlignment="1">
      <alignment vertical="center"/>
    </xf>
    <xf numFmtId="165" fontId="39" fillId="0" borderId="0" xfId="7" applyNumberFormat="1" applyFont="1" applyFill="1" applyBorder="1" applyAlignment="1">
      <alignment vertical="top"/>
    </xf>
    <xf numFmtId="4" fontId="22" fillId="0" borderId="0" xfId="7" applyNumberFormat="1" applyFont="1" applyFill="1" applyBorder="1" applyAlignment="1" applyProtection="1">
      <alignment vertical="top"/>
    </xf>
    <xf numFmtId="178" fontId="66" fillId="0" borderId="0" xfId="7" applyNumberFormat="1" applyFont="1" applyFill="1" applyBorder="1" applyAlignment="1">
      <alignment vertical="top"/>
    </xf>
    <xf numFmtId="4" fontId="23" fillId="6" borderId="72" xfId="0" applyNumberFormat="1" applyFont="1" applyFill="1" applyBorder="1" applyAlignment="1" applyProtection="1">
      <alignment vertical="center"/>
      <protection locked="0"/>
    </xf>
    <xf numFmtId="0" fontId="81" fillId="0" borderId="0" xfId="7" applyNumberFormat="1" applyFont="1" applyFill="1" applyBorder="1" applyAlignment="1">
      <alignment vertical="center"/>
    </xf>
    <xf numFmtId="0" fontId="29" fillId="0" borderId="0" xfId="7" applyBorder="1" applyProtection="1"/>
    <xf numFmtId="0" fontId="31" fillId="0" borderId="0" xfId="7" applyFont="1" applyFill="1" applyBorder="1" applyProtection="1"/>
    <xf numFmtId="166" fontId="23" fillId="0" borderId="0" xfId="7" applyNumberFormat="1" applyFont="1" applyFill="1" applyBorder="1" applyAlignment="1" applyProtection="1">
      <alignment vertical="center"/>
    </xf>
    <xf numFmtId="166" fontId="33" fillId="0" borderId="0" xfId="7" applyNumberFormat="1" applyFont="1" applyFill="1" applyBorder="1" applyAlignment="1" applyProtection="1">
      <alignment vertical="center"/>
    </xf>
    <xf numFmtId="166" fontId="31" fillId="0" borderId="0" xfId="7" applyNumberFormat="1" applyFont="1" applyFill="1" applyBorder="1" applyProtection="1"/>
    <xf numFmtId="0" fontId="0" fillId="0" borderId="0" xfId="0" applyBorder="1" applyProtection="1"/>
    <xf numFmtId="0" fontId="35" fillId="0" borderId="0" xfId="7" applyFont="1" applyFill="1" applyBorder="1" applyAlignment="1" applyProtection="1">
      <alignment horizontal="center" vertical="center" wrapText="1"/>
    </xf>
    <xf numFmtId="0" fontId="30" fillId="0" borderId="0" xfId="7" applyFont="1" applyFill="1" applyBorder="1" applyAlignment="1" applyProtection="1">
      <alignment horizontal="left" vertical="center" wrapText="1"/>
    </xf>
    <xf numFmtId="166" fontId="33" fillId="0" borderId="0" xfId="7" applyNumberFormat="1" applyFont="1" applyFill="1" applyBorder="1" applyAlignment="1" applyProtection="1">
      <alignment horizontal="center" vertical="center"/>
    </xf>
    <xf numFmtId="0" fontId="18" fillId="0" borderId="0" xfId="7" applyFont="1" applyFill="1" applyBorder="1" applyAlignment="1" applyProtection="1">
      <alignment horizontal="left" vertical="center" wrapText="1"/>
    </xf>
    <xf numFmtId="166" fontId="14" fillId="0" borderId="0" xfId="7" applyNumberFormat="1" applyFont="1" applyFill="1" applyBorder="1" applyAlignment="1" applyProtection="1">
      <alignment horizontal="center" vertical="center" wrapText="1"/>
    </xf>
    <xf numFmtId="0" fontId="31" fillId="0" borderId="0" xfId="7" applyFont="1" applyFill="1" applyBorder="1" applyAlignment="1" applyProtection="1">
      <alignment horizontal="center"/>
    </xf>
    <xf numFmtId="166" fontId="38" fillId="0" borderId="0" xfId="7" applyNumberFormat="1" applyFont="1" applyFill="1" applyBorder="1" applyAlignment="1" applyProtection="1">
      <alignment horizontal="center" vertical="top"/>
    </xf>
    <xf numFmtId="166" fontId="32" fillId="0" borderId="0" xfId="7" applyNumberFormat="1" applyFont="1" applyFill="1" applyBorder="1" applyProtection="1"/>
    <xf numFmtId="0" fontId="21" fillId="0" borderId="0" xfId="7" applyFont="1" applyFill="1" applyBorder="1" applyAlignment="1" applyProtection="1">
      <alignment horizontal="center"/>
    </xf>
    <xf numFmtId="0" fontId="21" fillId="0" borderId="0" xfId="7" applyFont="1" applyFill="1" applyBorder="1" applyAlignment="1" applyProtection="1"/>
    <xf numFmtId="0" fontId="29" fillId="0" borderId="0" xfId="7" applyBorder="1" applyAlignment="1" applyProtection="1">
      <alignment horizontal="center"/>
    </xf>
    <xf numFmtId="177" fontId="66" fillId="0" borderId="0" xfId="7" applyNumberFormat="1" applyFont="1" applyFill="1" applyBorder="1" applyAlignment="1">
      <alignment vertical="top"/>
    </xf>
    <xf numFmtId="177" fontId="66" fillId="0" borderId="0" xfId="7" applyNumberFormat="1" applyFont="1" applyFill="1" applyBorder="1" applyAlignment="1">
      <alignment vertical="center"/>
    </xf>
    <xf numFmtId="178" fontId="8" fillId="0" borderId="1" xfId="0" applyNumberFormat="1" applyFont="1" applyFill="1" applyBorder="1" applyAlignment="1" applyProtection="1">
      <alignment horizontal="center"/>
    </xf>
    <xf numFmtId="178" fontId="8" fillId="0" borderId="1" xfId="0" applyNumberFormat="1" applyFont="1" applyFill="1" applyBorder="1" applyAlignment="1">
      <alignment horizontal="center" vertical="center"/>
    </xf>
    <xf numFmtId="177" fontId="8" fillId="0" borderId="0" xfId="0" applyNumberFormat="1" applyFont="1" applyFill="1" applyAlignment="1" applyProtection="1">
      <alignment horizontal="center" vertical="center"/>
      <protection hidden="1"/>
    </xf>
    <xf numFmtId="178" fontId="67" fillId="0" borderId="0" xfId="0" applyNumberFormat="1" applyFont="1"/>
    <xf numFmtId="177" fontId="67" fillId="0" borderId="0" xfId="0" applyNumberFormat="1" applyFont="1" applyFill="1"/>
    <xf numFmtId="178" fontId="61" fillId="0" borderId="1" xfId="0" applyNumberFormat="1" applyFont="1" applyFill="1" applyBorder="1" applyAlignment="1" applyProtection="1">
      <alignment horizontal="center"/>
    </xf>
    <xf numFmtId="178" fontId="11" fillId="0" borderId="4" xfId="0" applyNumberFormat="1" applyFont="1" applyFill="1" applyBorder="1" applyAlignment="1" applyProtection="1">
      <alignment horizontal="center"/>
    </xf>
    <xf numFmtId="178" fontId="11" fillId="0" borderId="1" xfId="0" applyNumberFormat="1" applyFont="1" applyFill="1" applyBorder="1" applyAlignment="1" applyProtection="1">
      <alignment horizontal="center"/>
    </xf>
    <xf numFmtId="178" fontId="61" fillId="0" borderId="1" xfId="0" applyNumberFormat="1" applyFont="1" applyFill="1" applyBorder="1" applyAlignment="1" applyProtection="1">
      <alignment horizontal="center" vertical="center"/>
    </xf>
    <xf numFmtId="178" fontId="11" fillId="0" borderId="1" xfId="0" applyNumberFormat="1" applyFont="1" applyFill="1" applyBorder="1" applyAlignment="1" applyProtection="1">
      <alignment horizontal="center" vertical="center"/>
      <protection hidden="1"/>
    </xf>
    <xf numFmtId="178" fontId="6" fillId="0" borderId="0" xfId="0" applyNumberFormat="1" applyFont="1"/>
    <xf numFmtId="178" fontId="11" fillId="0" borderId="1" xfId="0" applyNumberFormat="1" applyFont="1" applyFill="1" applyBorder="1" applyAlignment="1" applyProtection="1">
      <alignment horizontal="center" vertical="center"/>
    </xf>
    <xf numFmtId="178" fontId="6" fillId="0" borderId="9" xfId="0" applyNumberFormat="1" applyFont="1" applyBorder="1" applyProtection="1"/>
    <xf numFmtId="181" fontId="11" fillId="0" borderId="1" xfId="0" applyNumberFormat="1" applyFont="1" applyFill="1" applyBorder="1" applyAlignment="1" applyProtection="1">
      <alignment horizontal="center"/>
    </xf>
    <xf numFmtId="0" fontId="7" fillId="0" borderId="1" xfId="0" applyFont="1" applyFill="1" applyBorder="1" applyAlignment="1" applyProtection="1">
      <alignment horizontal="center"/>
    </xf>
    <xf numFmtId="0" fontId="0" fillId="0" borderId="0" xfId="0" applyAlignment="1" applyProtection="1"/>
    <xf numFmtId="0" fontId="13" fillId="0" borderId="0" xfId="0" applyFont="1" applyFill="1" applyBorder="1" applyAlignment="1" applyProtection="1">
      <alignment horizontal="center"/>
    </xf>
    <xf numFmtId="0" fontId="14" fillId="0" borderId="0" xfId="0" applyFont="1" applyAlignment="1" applyProtection="1">
      <alignment horizontal="right" vertical="center"/>
    </xf>
    <xf numFmtId="0" fontId="13" fillId="0" borderId="0" xfId="0" applyFont="1" applyAlignment="1" applyProtection="1">
      <alignment horizontal="center"/>
    </xf>
    <xf numFmtId="0" fontId="0" fillId="0" borderId="0" xfId="0" applyNumberFormat="1"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Alignment="1" applyProtection="1">
      <alignment vertical="center"/>
      <protection locked="0"/>
    </xf>
    <xf numFmtId="2" fontId="0" fillId="0" borderId="0" xfId="0" applyNumberFormat="1" applyAlignment="1" applyProtection="1">
      <alignment horizontal="center" vertical="center"/>
      <protection locked="0"/>
    </xf>
    <xf numFmtId="49" fontId="45" fillId="0" borderId="0" xfId="0" applyNumberFormat="1" applyFont="1" applyAlignment="1" applyProtection="1">
      <alignment vertical="center"/>
    </xf>
    <xf numFmtId="166" fontId="45" fillId="0" borderId="0" xfId="0" applyNumberFormat="1" applyFont="1" applyAlignment="1" applyProtection="1">
      <alignment vertical="center"/>
    </xf>
    <xf numFmtId="0" fontId="63" fillId="0" borderId="0" xfId="0" applyFont="1" applyAlignment="1" applyProtection="1">
      <alignment vertical="center"/>
    </xf>
    <xf numFmtId="2" fontId="0" fillId="0" borderId="0" xfId="0" applyNumberFormat="1" applyAlignment="1" applyProtection="1">
      <alignment horizontal="center" vertical="center"/>
    </xf>
    <xf numFmtId="0" fontId="61" fillId="0" borderId="0" xfId="0" applyFont="1" applyAlignment="1" applyProtection="1">
      <alignment vertical="center"/>
    </xf>
    <xf numFmtId="0" fontId="54" fillId="0" borderId="0" xfId="0" applyFont="1" applyAlignment="1" applyProtection="1">
      <alignment vertical="center" wrapText="1"/>
    </xf>
    <xf numFmtId="177" fontId="19" fillId="0" borderId="0" xfId="4" applyNumberFormat="1" applyFont="1" applyFill="1" applyAlignment="1">
      <alignment vertical="center"/>
    </xf>
    <xf numFmtId="170" fontId="19" fillId="0" borderId="0" xfId="4" applyNumberFormat="1" applyFont="1" applyFill="1" applyAlignment="1">
      <alignment vertical="center"/>
    </xf>
    <xf numFmtId="0" fontId="25" fillId="0" borderId="47" xfId="4" quotePrefix="1" applyFont="1" applyFill="1" applyBorder="1" applyAlignment="1" applyProtection="1">
      <alignment horizontal="center" vertical="center" wrapText="1"/>
      <protection hidden="1"/>
    </xf>
    <xf numFmtId="0" fontId="25" fillId="0" borderId="6" xfId="4" quotePrefix="1" applyFont="1" applyFill="1" applyBorder="1" applyAlignment="1" applyProtection="1">
      <alignment horizontal="center" vertical="center" wrapText="1"/>
      <protection hidden="1"/>
    </xf>
    <xf numFmtId="0" fontId="25" fillId="0" borderId="91" xfId="4" quotePrefix="1" applyFont="1" applyFill="1" applyBorder="1" applyAlignment="1" applyProtection="1">
      <alignment horizontal="center" vertical="center" wrapText="1"/>
      <protection hidden="1"/>
    </xf>
    <xf numFmtId="181" fontId="13" fillId="0" borderId="0" xfId="0" applyNumberFormat="1" applyFont="1" applyAlignment="1" applyProtection="1">
      <alignment horizontal="left" vertical="center"/>
      <protection hidden="1"/>
    </xf>
    <xf numFmtId="0" fontId="0" fillId="0" borderId="0" xfId="0" applyNumberFormat="1" applyFont="1" applyAlignment="1" applyProtection="1">
      <alignment horizontal="center" vertical="center"/>
    </xf>
    <xf numFmtId="2" fontId="0" fillId="0" borderId="51" xfId="0" applyNumberFormat="1" applyFont="1" applyBorder="1" applyAlignment="1" applyProtection="1">
      <alignment horizontal="center" vertical="center"/>
    </xf>
    <xf numFmtId="2" fontId="0" fillId="0" borderId="7" xfId="0" applyNumberFormat="1" applyFont="1" applyBorder="1" applyAlignment="1" applyProtection="1">
      <alignment vertical="center"/>
    </xf>
    <xf numFmtId="49" fontId="0" fillId="0" borderId="3" xfId="0" applyNumberFormat="1" applyFill="1" applyBorder="1" applyAlignment="1" applyProtection="1">
      <alignment horizontal="center" vertical="center" wrapText="1"/>
      <protection locked="0"/>
    </xf>
    <xf numFmtId="182" fontId="28" fillId="6" borderId="64" xfId="8" applyNumberFormat="1" applyFill="1" applyBorder="1" applyProtection="1">
      <protection locked="0"/>
    </xf>
    <xf numFmtId="183" fontId="28" fillId="0" borderId="17" xfId="8" applyNumberFormat="1" applyFill="1" applyBorder="1"/>
    <xf numFmtId="183" fontId="28" fillId="0" borderId="11" xfId="12" applyNumberFormat="1" applyFont="1" applyBorder="1"/>
    <xf numFmtId="184" fontId="28" fillId="0" borderId="23" xfId="12" applyNumberFormat="1" applyFont="1" applyBorder="1"/>
    <xf numFmtId="184" fontId="28" fillId="0" borderId="66" xfId="12" applyNumberFormat="1" applyFont="1" applyBorder="1"/>
    <xf numFmtId="183" fontId="28" fillId="0" borderId="17" xfId="8" applyNumberFormat="1" applyFont="1" applyFill="1" applyBorder="1"/>
    <xf numFmtId="0" fontId="8" fillId="0" borderId="4" xfId="4" applyFont="1" applyFill="1" applyBorder="1" applyAlignment="1" applyProtection="1">
      <alignment horizontal="center" vertical="center"/>
    </xf>
    <xf numFmtId="0" fontId="8" fillId="0" borderId="4" xfId="4" applyFont="1" applyFill="1" applyBorder="1" applyAlignment="1" applyProtection="1">
      <alignment vertical="center" wrapText="1"/>
    </xf>
    <xf numFmtId="0" fontId="8" fillId="0" borderId="2" xfId="4" quotePrefix="1" applyFont="1" applyFill="1" applyBorder="1" applyAlignment="1" applyProtection="1">
      <alignment horizontal="center" vertical="center" wrapText="1"/>
      <protection hidden="1"/>
    </xf>
    <xf numFmtId="0" fontId="49" fillId="0" borderId="2" xfId="4" quotePrefix="1" applyFont="1" applyFill="1" applyBorder="1" applyAlignment="1" applyProtection="1">
      <alignment horizontal="center" vertical="center" wrapText="1"/>
      <protection hidden="1"/>
    </xf>
    <xf numFmtId="0" fontId="11" fillId="0" borderId="4" xfId="4" applyFont="1" applyFill="1" applyBorder="1" applyAlignment="1" applyProtection="1">
      <alignment horizontal="center" vertical="top"/>
      <protection hidden="1"/>
    </xf>
    <xf numFmtId="0" fontId="11" fillId="0" borderId="4" xfId="4" applyFont="1" applyFill="1" applyBorder="1" applyAlignment="1" applyProtection="1">
      <alignment horizontal="center" vertical="center"/>
      <protection hidden="1"/>
    </xf>
    <xf numFmtId="0" fontId="72" fillId="0" borderId="0" xfId="4" applyFont="1" applyAlignment="1">
      <alignment vertical="center"/>
    </xf>
    <xf numFmtId="0" fontId="8" fillId="0" borderId="9" xfId="4" applyFont="1" applyFill="1" applyBorder="1" applyAlignment="1" applyProtection="1">
      <alignment horizontal="center" vertical="center"/>
    </xf>
    <xf numFmtId="0" fontId="8" fillId="0" borderId="90" xfId="4" applyFont="1" applyFill="1" applyBorder="1" applyAlignment="1" applyProtection="1">
      <alignment horizontal="center" vertical="center"/>
    </xf>
    <xf numFmtId="0" fontId="14" fillId="0" borderId="4" xfId="4" applyFont="1" applyFill="1" applyBorder="1" applyAlignment="1" applyProtection="1">
      <alignment horizontal="center" vertical="center"/>
      <protection hidden="1"/>
    </xf>
    <xf numFmtId="0" fontId="8" fillId="0" borderId="72" xfId="4" applyFont="1" applyFill="1" applyBorder="1" applyAlignment="1" applyProtection="1">
      <alignment horizontal="center" vertical="center"/>
    </xf>
    <xf numFmtId="0" fontId="14" fillId="2" borderId="4" xfId="4" applyFont="1" applyFill="1" applyBorder="1" applyAlignment="1" applyProtection="1">
      <alignment horizontal="center" vertical="center"/>
      <protection hidden="1"/>
    </xf>
    <xf numFmtId="0" fontId="11" fillId="2" borderId="4" xfId="4" applyFont="1" applyFill="1" applyBorder="1" applyAlignment="1" applyProtection="1">
      <alignment horizontal="center" vertical="center"/>
      <protection hidden="1"/>
    </xf>
    <xf numFmtId="0" fontId="8" fillId="2" borderId="4" xfId="4" applyFont="1" applyFill="1" applyBorder="1" applyAlignment="1" applyProtection="1">
      <alignment horizontal="center" vertical="center"/>
    </xf>
    <xf numFmtId="0" fontId="11" fillId="2" borderId="4" xfId="4" applyFont="1" applyFill="1" applyBorder="1" applyAlignment="1" applyProtection="1">
      <alignment vertical="center" wrapText="1"/>
    </xf>
    <xf numFmtId="178" fontId="8" fillId="2" borderId="3" xfId="4" applyNumberFormat="1" applyFont="1" applyFill="1" applyBorder="1" applyAlignment="1" applyProtection="1">
      <alignment vertical="center"/>
    </xf>
    <xf numFmtId="178" fontId="8" fillId="2" borderId="8" xfId="4" applyNumberFormat="1" applyFont="1" applyFill="1" applyBorder="1" applyAlignment="1" applyProtection="1">
      <alignment vertical="center"/>
    </xf>
    <xf numFmtId="178" fontId="8" fillId="2" borderId="23" xfId="4" applyNumberFormat="1" applyFont="1" applyFill="1" applyBorder="1" applyAlignment="1" applyProtection="1">
      <alignment vertical="center"/>
    </xf>
    <xf numFmtId="178" fontId="8" fillId="2" borderId="2" xfId="4" applyNumberFormat="1" applyFont="1" applyFill="1" applyBorder="1" applyAlignment="1" applyProtection="1">
      <alignment vertical="center"/>
    </xf>
    <xf numFmtId="170" fontId="8" fillId="0" borderId="3" xfId="4" applyNumberFormat="1" applyFont="1" applyFill="1" applyBorder="1" applyAlignment="1" applyProtection="1">
      <alignment vertical="center"/>
    </xf>
    <xf numFmtId="170" fontId="8" fillId="0" borderId="8" xfId="4" applyNumberFormat="1" applyFont="1" applyFill="1" applyBorder="1" applyAlignment="1" applyProtection="1">
      <alignment vertical="center"/>
    </xf>
    <xf numFmtId="170" fontId="8" fillId="0" borderId="23" xfId="4" applyNumberFormat="1" applyFont="1" applyFill="1" applyBorder="1" applyAlignment="1" applyProtection="1">
      <alignment vertical="center"/>
    </xf>
    <xf numFmtId="170" fontId="8" fillId="0" borderId="2" xfId="4" applyNumberFormat="1" applyFont="1" applyFill="1" applyBorder="1" applyAlignment="1" applyProtection="1">
      <alignment vertical="center"/>
    </xf>
    <xf numFmtId="0" fontId="14" fillId="0" borderId="1" xfId="4" applyFont="1" applyFill="1" applyBorder="1" applyAlignment="1" applyProtection="1">
      <alignment horizontal="center" vertical="center"/>
      <protection hidden="1"/>
    </xf>
    <xf numFmtId="0" fontId="13" fillId="0" borderId="1" xfId="4" applyFont="1" applyFill="1" applyBorder="1" applyAlignment="1">
      <alignment horizontal="center" vertical="center"/>
    </xf>
    <xf numFmtId="0" fontId="13" fillId="0" borderId="4" xfId="4" applyFont="1" applyFill="1" applyBorder="1" applyAlignment="1">
      <alignment horizontal="center" vertical="center"/>
    </xf>
    <xf numFmtId="0" fontId="8" fillId="0" borderId="1" xfId="4" applyFont="1" applyFill="1" applyBorder="1" applyAlignment="1">
      <alignment vertical="center" wrapText="1"/>
    </xf>
    <xf numFmtId="0" fontId="8" fillId="0" borderId="4" xfId="4" applyFont="1" applyFill="1" applyBorder="1" applyAlignment="1">
      <alignment horizontal="center" vertical="center"/>
    </xf>
    <xf numFmtId="0" fontId="8" fillId="0" borderId="4" xfId="4" applyFont="1" applyFill="1" applyBorder="1" applyAlignment="1">
      <alignment vertical="center" wrapText="1"/>
    </xf>
    <xf numFmtId="0" fontId="13" fillId="2" borderId="4" xfId="4" applyFont="1" applyFill="1" applyBorder="1" applyAlignment="1">
      <alignment horizontal="center" vertical="center"/>
    </xf>
    <xf numFmtId="0" fontId="14" fillId="2" borderId="4" xfId="4" applyFont="1" applyFill="1" applyBorder="1" applyAlignment="1">
      <alignment horizontal="left" vertical="center" wrapText="1"/>
    </xf>
    <xf numFmtId="0" fontId="13" fillId="0" borderId="5" xfId="4" applyFont="1" applyBorder="1" applyAlignment="1">
      <alignment horizontal="center" vertical="center"/>
    </xf>
    <xf numFmtId="0" fontId="85" fillId="0" borderId="0" xfId="4" applyFont="1"/>
    <xf numFmtId="0" fontId="8" fillId="6" borderId="92" xfId="4" applyFont="1" applyFill="1" applyBorder="1" applyAlignment="1" applyProtection="1">
      <alignment horizontal="center" vertical="center"/>
      <protection locked="0"/>
    </xf>
    <xf numFmtId="0" fontId="8" fillId="6" borderId="94" xfId="4" applyFont="1" applyFill="1" applyBorder="1" applyAlignment="1" applyProtection="1">
      <alignment horizontal="center" vertical="center"/>
      <protection locked="0"/>
    </xf>
    <xf numFmtId="0" fontId="61" fillId="0" borderId="99" xfId="5" applyNumberFormat="1" applyFont="1" applyFill="1" applyBorder="1" applyAlignment="1" applyProtection="1">
      <alignment horizontal="center" vertical="center"/>
      <protection locked="0"/>
    </xf>
    <xf numFmtId="0" fontId="61" fillId="7" borderId="100" xfId="5" applyFont="1" applyFill="1" applyBorder="1" applyAlignment="1" applyProtection="1">
      <alignment horizontal="center" vertical="center"/>
    </xf>
    <xf numFmtId="0" fontId="44" fillId="0" borderId="28" xfId="5" applyFont="1" applyBorder="1" applyAlignment="1" applyProtection="1">
      <alignment horizontal="center" vertical="center"/>
    </xf>
    <xf numFmtId="0" fontId="61" fillId="0" borderId="101" xfId="5" applyNumberFormat="1" applyFont="1" applyFill="1" applyBorder="1" applyAlignment="1" applyProtection="1">
      <alignment horizontal="center" vertical="center"/>
      <protection locked="0"/>
    </xf>
    <xf numFmtId="4" fontId="8" fillId="6" borderId="6" xfId="2" applyNumberFormat="1" applyFont="1" applyFill="1" applyBorder="1" applyAlignment="1" applyProtection="1">
      <alignment horizontal="right" vertical="center"/>
      <protection locked="0"/>
    </xf>
    <xf numFmtId="4" fontId="8" fillId="6" borderId="1" xfId="2" applyNumberFormat="1" applyFont="1" applyFill="1" applyBorder="1" applyAlignment="1" applyProtection="1">
      <alignment horizontal="right" vertical="center"/>
      <protection locked="0"/>
    </xf>
    <xf numFmtId="4" fontId="8" fillId="6" borderId="24" xfId="2" applyNumberFormat="1" applyFont="1" applyFill="1" applyBorder="1" applyAlignment="1" applyProtection="1">
      <alignment horizontal="right" vertical="center"/>
      <protection locked="0"/>
    </xf>
    <xf numFmtId="170" fontId="8" fillId="6" borderId="6" xfId="2" applyNumberFormat="1" applyFont="1" applyFill="1" applyBorder="1" applyAlignment="1" applyProtection="1">
      <alignment horizontal="right" vertical="center"/>
      <protection locked="0"/>
    </xf>
    <xf numFmtId="4" fontId="8" fillId="6" borderId="22" xfId="2" applyNumberFormat="1" applyFont="1" applyFill="1" applyBorder="1" applyAlignment="1" applyProtection="1">
      <alignment horizontal="right" vertical="center"/>
      <protection locked="0"/>
    </xf>
    <xf numFmtId="0" fontId="36" fillId="0" borderId="0" xfId="6" applyFont="1"/>
    <xf numFmtId="0" fontId="86" fillId="0" borderId="0" xfId="6" applyFont="1"/>
    <xf numFmtId="0" fontId="41" fillId="0" borderId="0" xfId="6" applyFont="1"/>
    <xf numFmtId="0" fontId="41" fillId="0" borderId="10" xfId="6" applyFont="1" applyBorder="1"/>
    <xf numFmtId="0" fontId="36" fillId="0" borderId="19" xfId="4" applyFont="1" applyBorder="1" applyAlignment="1" applyProtection="1">
      <alignment horizontal="center" vertical="center"/>
      <protection hidden="1"/>
    </xf>
    <xf numFmtId="0" fontId="36" fillId="0" borderId="21" xfId="4" applyFont="1" applyBorder="1" applyAlignment="1" applyProtection="1">
      <alignment horizontal="center" vertical="center"/>
      <protection hidden="1"/>
    </xf>
    <xf numFmtId="0" fontId="36" fillId="0" borderId="28" xfId="4" applyFont="1" applyFill="1" applyBorder="1" applyAlignment="1" applyProtection="1">
      <alignment horizontal="center" vertical="center"/>
    </xf>
    <xf numFmtId="0" fontId="87" fillId="0" borderId="0" xfId="2" applyFont="1"/>
    <xf numFmtId="0" fontId="36" fillId="0" borderId="10" xfId="6" applyFont="1" applyBorder="1"/>
    <xf numFmtId="0" fontId="88" fillId="0" borderId="27" xfId="5" applyNumberFormat="1" applyFont="1" applyFill="1" applyBorder="1" applyAlignment="1" applyProtection="1">
      <alignment horizontal="center" vertical="center"/>
      <protection locked="0"/>
    </xf>
    <xf numFmtId="0" fontId="88" fillId="0" borderId="26" xfId="5" applyNumberFormat="1" applyFont="1" applyFill="1" applyBorder="1" applyAlignment="1" applyProtection="1">
      <alignment horizontal="center" vertical="center"/>
      <protection locked="0"/>
    </xf>
    <xf numFmtId="0" fontId="88" fillId="7" borderId="29" xfId="5" applyFont="1" applyFill="1" applyBorder="1" applyAlignment="1" applyProtection="1">
      <alignment horizontal="center" vertical="center"/>
    </xf>
    <xf numFmtId="0" fontId="88" fillId="0" borderId="87" xfId="6" applyFont="1" applyBorder="1" applyAlignment="1">
      <alignment horizontal="center" vertical="center"/>
    </xf>
    <xf numFmtId="0" fontId="88" fillId="0" borderId="88" xfId="6" applyFont="1" applyBorder="1" applyAlignment="1">
      <alignment horizontal="center" vertical="center"/>
    </xf>
    <xf numFmtId="0" fontId="41" fillId="0" borderId="5" xfId="6" applyFont="1" applyBorder="1" applyAlignment="1">
      <alignment horizontal="center" vertical="center"/>
    </xf>
    <xf numFmtId="0" fontId="36" fillId="0" borderId="5" xfId="6" applyFont="1" applyBorder="1" applyAlignment="1">
      <alignment vertical="center"/>
    </xf>
    <xf numFmtId="0" fontId="36" fillId="0" borderId="48" xfId="6" applyFont="1" applyBorder="1" applyAlignment="1">
      <alignment vertical="center"/>
    </xf>
    <xf numFmtId="0" fontId="36" fillId="0" borderId="0" xfId="6" applyFont="1" applyAlignment="1">
      <alignment vertical="center"/>
    </xf>
    <xf numFmtId="0" fontId="41" fillId="0" borderId="0" xfId="6" applyFont="1" applyBorder="1" applyAlignment="1">
      <alignment horizontal="center" vertical="center"/>
    </xf>
    <xf numFmtId="0" fontId="36" fillId="0" borderId="0" xfId="6" applyFont="1" applyBorder="1" applyAlignment="1">
      <alignment vertical="center"/>
    </xf>
    <xf numFmtId="0" fontId="36" fillId="0" borderId="10" xfId="6" applyFont="1" applyBorder="1" applyAlignment="1">
      <alignment vertical="center"/>
    </xf>
    <xf numFmtId="0" fontId="88" fillId="0" borderId="105" xfId="6" quotePrefix="1" applyFont="1" applyBorder="1" applyAlignment="1">
      <alignment horizontal="center" vertical="center"/>
    </xf>
    <xf numFmtId="0" fontId="88" fillId="0" borderId="106" xfId="6" quotePrefix="1" applyFont="1" applyBorder="1" applyAlignment="1">
      <alignment horizontal="center" vertical="center"/>
    </xf>
    <xf numFmtId="0" fontId="88" fillId="0" borderId="107" xfId="6" quotePrefix="1" applyFont="1" applyBorder="1" applyAlignment="1">
      <alignment horizontal="center" vertical="center"/>
    </xf>
    <xf numFmtId="0" fontId="36" fillId="0" borderId="72" xfId="6" applyFont="1" applyBorder="1" applyAlignment="1">
      <alignment vertical="center"/>
    </xf>
    <xf numFmtId="0" fontId="87" fillId="0" borderId="72" xfId="2" applyFont="1" applyBorder="1"/>
    <xf numFmtId="0" fontId="36" fillId="0" borderId="78" xfId="6" applyFont="1" applyBorder="1" applyAlignment="1">
      <alignment vertical="center"/>
    </xf>
    <xf numFmtId="0" fontId="88" fillId="0" borderId="49" xfId="6" quotePrefix="1" applyFont="1" applyBorder="1" applyAlignment="1">
      <alignment horizontal="center" vertical="center"/>
    </xf>
    <xf numFmtId="0" fontId="88" fillId="0" borderId="51" xfId="6" quotePrefix="1" applyFont="1" applyBorder="1" applyAlignment="1">
      <alignment horizontal="center" vertical="center"/>
    </xf>
    <xf numFmtId="0" fontId="88" fillId="0" borderId="108" xfId="6" quotePrefix="1" applyFont="1" applyBorder="1" applyAlignment="1">
      <alignment horizontal="center" vertical="center"/>
    </xf>
    <xf numFmtId="0" fontId="36" fillId="0" borderId="72" xfId="6" applyFont="1" applyFill="1" applyBorder="1" applyAlignment="1">
      <alignment horizontal="center" vertical="center"/>
    </xf>
    <xf numFmtId="0" fontId="36" fillId="0" borderId="72" xfId="6" applyFont="1" applyFill="1" applyBorder="1" applyAlignment="1">
      <alignment horizontal="left" vertical="center" wrapText="1"/>
    </xf>
    <xf numFmtId="4" fontId="89" fillId="6" borderId="6" xfId="2" applyNumberFormat="1" applyFont="1" applyFill="1" applyBorder="1" applyAlignment="1" applyProtection="1">
      <alignment horizontal="right" vertical="center"/>
      <protection locked="0"/>
    </xf>
    <xf numFmtId="4" fontId="89" fillId="6" borderId="1" xfId="2" applyNumberFormat="1" applyFont="1" applyFill="1" applyBorder="1" applyAlignment="1" applyProtection="1">
      <alignment horizontal="right" vertical="center"/>
      <protection locked="0"/>
    </xf>
    <xf numFmtId="4" fontId="89" fillId="6" borderId="45" xfId="2" applyNumberFormat="1" applyFont="1" applyFill="1" applyBorder="1" applyAlignment="1" applyProtection="1">
      <alignment horizontal="right" vertical="center"/>
      <protection locked="0"/>
    </xf>
    <xf numFmtId="0" fontId="36" fillId="0" borderId="0" xfId="6" applyFont="1" applyFill="1" applyBorder="1" applyAlignment="1">
      <alignment vertical="center"/>
    </xf>
    <xf numFmtId="0" fontId="36" fillId="0" borderId="10" xfId="6" applyFont="1" applyFill="1" applyBorder="1" applyAlignment="1">
      <alignment horizontal="center" vertical="center" wrapText="1"/>
    </xf>
    <xf numFmtId="4" fontId="89" fillId="6" borderId="24" xfId="2" applyNumberFormat="1" applyFont="1" applyFill="1" applyBorder="1" applyAlignment="1" applyProtection="1">
      <alignment horizontal="right" vertical="center"/>
      <protection locked="0"/>
    </xf>
    <xf numFmtId="4" fontId="90" fillId="6" borderId="6" xfId="2" applyNumberFormat="1" applyFont="1" applyFill="1" applyBorder="1" applyAlignment="1" applyProtection="1">
      <alignment horizontal="right" vertical="center"/>
      <protection locked="0"/>
    </xf>
    <xf numFmtId="0" fontId="36" fillId="4" borderId="0" xfId="6" applyFont="1" applyFill="1" applyAlignment="1">
      <alignment horizontal="center" vertical="center"/>
    </xf>
    <xf numFmtId="0" fontId="36" fillId="4" borderId="0" xfId="6" applyFont="1" applyFill="1" applyAlignment="1">
      <alignment vertical="center"/>
    </xf>
    <xf numFmtId="0" fontId="36" fillId="4" borderId="0" xfId="6" applyFont="1" applyFill="1" applyAlignment="1">
      <alignment vertical="center" wrapText="1"/>
    </xf>
    <xf numFmtId="0" fontId="36" fillId="4" borderId="0" xfId="6" quotePrefix="1" applyFont="1" applyFill="1" applyBorder="1" applyAlignment="1">
      <alignment horizontal="center" vertical="center" wrapText="1"/>
    </xf>
    <xf numFmtId="170" fontId="88" fillId="4" borderId="53" xfId="6" applyNumberFormat="1" applyFont="1" applyFill="1" applyBorder="1" applyAlignment="1">
      <alignment vertical="center"/>
    </xf>
    <xf numFmtId="170" fontId="88" fillId="4" borderId="58" xfId="6" applyNumberFormat="1" applyFont="1" applyFill="1" applyBorder="1" applyAlignment="1">
      <alignment vertical="center"/>
    </xf>
    <xf numFmtId="170" fontId="88" fillId="4" borderId="46" xfId="6" applyNumberFormat="1" applyFont="1" applyFill="1" applyBorder="1" applyAlignment="1">
      <alignment vertical="center"/>
    </xf>
    <xf numFmtId="170" fontId="88" fillId="4" borderId="55" xfId="6" applyNumberFormat="1" applyFont="1" applyFill="1" applyBorder="1" applyAlignment="1">
      <alignment vertical="center"/>
    </xf>
    <xf numFmtId="170" fontId="88" fillId="4" borderId="47" xfId="6" applyNumberFormat="1" applyFont="1" applyFill="1" applyBorder="1" applyAlignment="1">
      <alignment vertical="center"/>
    </xf>
    <xf numFmtId="170" fontId="88" fillId="4" borderId="56" xfId="6" applyNumberFormat="1" applyFont="1" applyFill="1" applyBorder="1" applyAlignment="1">
      <alignment vertical="center"/>
    </xf>
    <xf numFmtId="0" fontId="36" fillId="0" borderId="0" xfId="6" applyFont="1" applyFill="1" applyAlignment="1">
      <alignment horizontal="center" vertical="center"/>
    </xf>
    <xf numFmtId="0" fontId="36" fillId="0" borderId="0" xfId="6" applyFont="1" applyFill="1" applyAlignment="1">
      <alignment vertical="center" wrapText="1"/>
    </xf>
    <xf numFmtId="0" fontId="36" fillId="0" borderId="10" xfId="6" quotePrefix="1" applyFont="1" applyFill="1" applyBorder="1" applyAlignment="1">
      <alignment horizontal="center" vertical="center" wrapText="1"/>
    </xf>
    <xf numFmtId="165" fontId="88" fillId="0" borderId="49" xfId="6" applyNumberFormat="1" applyFont="1" applyFill="1" applyBorder="1" applyAlignment="1">
      <alignment vertical="center"/>
    </xf>
    <xf numFmtId="165" fontId="88" fillId="0" borderId="0" xfId="6" applyNumberFormat="1" applyFont="1" applyFill="1" applyBorder="1" applyAlignment="1">
      <alignment vertical="center"/>
    </xf>
    <xf numFmtId="165" fontId="88" fillId="0" borderId="15" xfId="6" applyNumberFormat="1" applyFont="1" applyFill="1" applyBorder="1" applyAlignment="1">
      <alignment vertical="center"/>
    </xf>
    <xf numFmtId="165" fontId="88" fillId="0" borderId="50" xfId="6" applyNumberFormat="1" applyFont="1" applyFill="1" applyBorder="1" applyAlignment="1">
      <alignment vertical="center"/>
    </xf>
    <xf numFmtId="165" fontId="88" fillId="0" borderId="51" xfId="6" applyNumberFormat="1" applyFont="1" applyFill="1" applyBorder="1" applyAlignment="1">
      <alignment vertical="center"/>
    </xf>
    <xf numFmtId="0" fontId="36" fillId="0" borderId="72" xfId="6" applyFont="1" applyBorder="1" applyAlignment="1">
      <alignment horizontal="center" vertical="center"/>
    </xf>
    <xf numFmtId="0" fontId="41" fillId="0" borderId="72" xfId="6" applyFont="1" applyBorder="1" applyAlignment="1">
      <alignment horizontal="center" vertical="center"/>
    </xf>
    <xf numFmtId="0" fontId="41" fillId="0" borderId="72" xfId="6" applyFont="1" applyBorder="1" applyAlignment="1">
      <alignment vertical="center" wrapText="1"/>
    </xf>
    <xf numFmtId="0" fontId="36" fillId="0" borderId="4" xfId="6" applyFont="1" applyBorder="1" applyAlignment="1">
      <alignment horizontal="center" vertical="center"/>
    </xf>
    <xf numFmtId="0" fontId="41" fillId="0" borderId="4" xfId="6" applyFont="1" applyBorder="1" applyAlignment="1">
      <alignment horizontal="center" vertical="center"/>
    </xf>
    <xf numFmtId="0" fontId="89" fillId="5" borderId="72" xfId="6" applyFont="1" applyFill="1" applyBorder="1" applyAlignment="1">
      <alignment vertical="center" wrapText="1"/>
    </xf>
    <xf numFmtId="0" fontId="41" fillId="0" borderId="4" xfId="6" applyFont="1" applyBorder="1" applyAlignment="1">
      <alignment vertical="center" wrapText="1"/>
    </xf>
    <xf numFmtId="0" fontId="36" fillId="0" borderId="0" xfId="6" applyFont="1" applyAlignment="1">
      <alignment horizontal="center" vertical="center"/>
    </xf>
    <xf numFmtId="0" fontId="41" fillId="0" borderId="0" xfId="6" applyFont="1" applyAlignment="1">
      <alignment horizontal="center" vertical="center"/>
    </xf>
    <xf numFmtId="0" fontId="41" fillId="5" borderId="4" xfId="6" applyFont="1" applyFill="1" applyBorder="1" applyAlignment="1">
      <alignment vertical="center" wrapText="1"/>
    </xf>
    <xf numFmtId="0" fontId="36" fillId="4" borderId="0" xfId="6" applyFont="1" applyFill="1" applyAlignment="1">
      <alignment horizontal="center" vertical="center" wrapText="1"/>
    </xf>
    <xf numFmtId="0" fontId="36" fillId="4" borderId="0" xfId="6" quotePrefix="1" applyFont="1" applyFill="1" applyBorder="1" applyAlignment="1">
      <alignment horizontal="left" vertical="center" wrapText="1"/>
    </xf>
    <xf numFmtId="170" fontId="88" fillId="4" borderId="10" xfId="6" applyNumberFormat="1" applyFont="1" applyFill="1" applyBorder="1" applyAlignment="1">
      <alignment vertical="center"/>
    </xf>
    <xf numFmtId="178" fontId="88" fillId="4" borderId="58" xfId="6" applyNumberFormat="1" applyFont="1" applyFill="1" applyBorder="1" applyAlignment="1">
      <alignment vertical="center"/>
    </xf>
    <xf numFmtId="178" fontId="88" fillId="4" borderId="46" xfId="6" applyNumberFormat="1" applyFont="1" applyFill="1" applyBorder="1" applyAlignment="1">
      <alignment vertical="center"/>
    </xf>
    <xf numFmtId="178" fontId="88" fillId="4" borderId="55" xfId="6" applyNumberFormat="1" applyFont="1" applyFill="1" applyBorder="1" applyAlignment="1">
      <alignment vertical="center"/>
    </xf>
    <xf numFmtId="178" fontId="88" fillId="4" borderId="47" xfId="6" applyNumberFormat="1" applyFont="1" applyFill="1" applyBorder="1" applyAlignment="1">
      <alignment vertical="center"/>
    </xf>
    <xf numFmtId="178" fontId="88" fillId="4" borderId="56" xfId="6" applyNumberFormat="1" applyFont="1" applyFill="1" applyBorder="1" applyAlignment="1">
      <alignment vertical="center"/>
    </xf>
    <xf numFmtId="0" fontId="36" fillId="0" borderId="78" xfId="6" applyFont="1" applyBorder="1" applyAlignment="1">
      <alignment horizontal="center" vertical="center" wrapText="1"/>
    </xf>
    <xf numFmtId="0" fontId="41" fillId="0" borderId="4" xfId="6" applyFont="1" applyBorder="1" applyAlignment="1">
      <alignment horizontal="center" vertical="center" wrapText="1"/>
    </xf>
    <xf numFmtId="4" fontId="89" fillId="6" borderId="3" xfId="2" applyNumberFormat="1" applyFont="1" applyFill="1" applyBorder="1" applyAlignment="1" applyProtection="1">
      <alignment horizontal="right" vertical="center"/>
      <protection locked="0"/>
    </xf>
    <xf numFmtId="0" fontId="41" fillId="5" borderId="0" xfId="6" applyFont="1" applyFill="1" applyAlignment="1">
      <alignment vertical="center" wrapText="1"/>
    </xf>
    <xf numFmtId="0" fontId="87" fillId="0" borderId="10" xfId="2" applyFont="1" applyBorder="1"/>
    <xf numFmtId="0" fontId="36" fillId="4" borderId="79" xfId="6" applyFont="1" applyFill="1" applyBorder="1" applyAlignment="1">
      <alignment horizontal="center" vertical="center"/>
    </xf>
    <xf numFmtId="0" fontId="36" fillId="4" borderId="79" xfId="6" applyFont="1" applyFill="1" applyBorder="1" applyAlignment="1">
      <alignment vertical="center"/>
    </xf>
    <xf numFmtId="0" fontId="36" fillId="4" borderId="79" xfId="6" applyFont="1" applyFill="1" applyBorder="1" applyAlignment="1">
      <alignment horizontal="left" vertical="center" wrapText="1"/>
    </xf>
    <xf numFmtId="0" fontId="36" fillId="4" borderId="80" xfId="6" applyFont="1" applyFill="1" applyBorder="1" applyAlignment="1">
      <alignment horizontal="center" vertical="center" wrapText="1"/>
    </xf>
    <xf numFmtId="178" fontId="88" fillId="4" borderId="73" xfId="6" applyNumberFormat="1" applyFont="1" applyFill="1" applyBorder="1" applyAlignment="1">
      <alignment vertical="center"/>
    </xf>
    <xf numFmtId="178" fontId="88" fillId="4" borderId="75" xfId="6" applyNumberFormat="1" applyFont="1" applyFill="1" applyBorder="1" applyAlignment="1">
      <alignment vertical="center"/>
    </xf>
    <xf numFmtId="178" fontId="88" fillId="4" borderId="76" xfId="6" applyNumberFormat="1" applyFont="1" applyFill="1" applyBorder="1" applyAlignment="1">
      <alignment vertical="center"/>
    </xf>
    <xf numFmtId="178" fontId="88" fillId="4" borderId="77" xfId="6" applyNumberFormat="1" applyFont="1" applyFill="1" applyBorder="1" applyAlignment="1">
      <alignment vertical="center"/>
    </xf>
    <xf numFmtId="0" fontId="36" fillId="4" borderId="5" xfId="6" applyFont="1" applyFill="1" applyBorder="1" applyAlignment="1">
      <alignment horizontal="center" vertical="center"/>
    </xf>
    <xf numFmtId="0" fontId="36" fillId="4" borderId="5" xfId="6" applyFont="1" applyFill="1" applyBorder="1" applyAlignment="1">
      <alignment vertical="center"/>
    </xf>
    <xf numFmtId="0" fontId="36" fillId="4" borderId="5" xfId="6" applyFont="1" applyFill="1" applyBorder="1" applyAlignment="1">
      <alignment vertical="center" wrapText="1"/>
    </xf>
    <xf numFmtId="0" fontId="36" fillId="4" borderId="79" xfId="6" quotePrefix="1" applyFont="1" applyFill="1" applyBorder="1" applyAlignment="1">
      <alignment horizontal="center" vertical="center" wrapText="1"/>
    </xf>
    <xf numFmtId="170" fontId="88" fillId="4" borderId="82" xfId="6" applyNumberFormat="1" applyFont="1" applyFill="1" applyBorder="1" applyAlignment="1">
      <alignment vertical="center"/>
    </xf>
    <xf numFmtId="170" fontId="88" fillId="4" borderId="83" xfId="6" applyNumberFormat="1" applyFont="1" applyFill="1" applyBorder="1" applyAlignment="1">
      <alignment vertical="center"/>
    </xf>
    <xf numFmtId="170" fontId="88" fillId="4" borderId="33" xfId="6" applyNumberFormat="1" applyFont="1" applyFill="1" applyBorder="1" applyAlignment="1">
      <alignment vertical="center"/>
    </xf>
    <xf numFmtId="170" fontId="88" fillId="4" borderId="84" xfId="6" applyNumberFormat="1" applyFont="1" applyFill="1" applyBorder="1" applyAlignment="1">
      <alignment vertical="center"/>
    </xf>
    <xf numFmtId="170" fontId="88" fillId="4" borderId="81" xfId="6" applyNumberFormat="1" applyFont="1" applyFill="1" applyBorder="1" applyAlignment="1">
      <alignment vertical="center"/>
    </xf>
    <xf numFmtId="170" fontId="88" fillId="4" borderId="85" xfId="6" applyNumberFormat="1" applyFont="1" applyFill="1" applyBorder="1" applyAlignment="1">
      <alignment vertical="center"/>
    </xf>
    <xf numFmtId="0" fontId="36" fillId="4" borderId="0" xfId="6" applyFont="1" applyFill="1" applyBorder="1" applyAlignment="1">
      <alignment horizontal="center" vertical="center"/>
    </xf>
    <xf numFmtId="0" fontId="36" fillId="4" borderId="0" xfId="6" applyFont="1" applyFill="1" applyBorder="1" applyAlignment="1">
      <alignment vertical="center"/>
    </xf>
    <xf numFmtId="0" fontId="36" fillId="4" borderId="72" xfId="6" applyFont="1" applyFill="1" applyBorder="1" applyAlignment="1">
      <alignment vertical="center" wrapText="1"/>
    </xf>
    <xf numFmtId="170" fontId="88" fillId="4" borderId="49" xfId="6" applyNumberFormat="1" applyFont="1" applyFill="1" applyBorder="1" applyAlignment="1">
      <alignment vertical="center"/>
    </xf>
    <xf numFmtId="170" fontId="88" fillId="4" borderId="74" xfId="6" applyNumberFormat="1" applyFont="1" applyFill="1" applyBorder="1" applyAlignment="1">
      <alignment vertical="center"/>
    </xf>
    <xf numFmtId="170" fontId="88" fillId="4" borderId="15" xfId="6" applyNumberFormat="1" applyFont="1" applyFill="1" applyBorder="1" applyAlignment="1">
      <alignment vertical="center"/>
    </xf>
    <xf numFmtId="170" fontId="88" fillId="4" borderId="50" xfId="6" applyNumberFormat="1" applyFont="1" applyFill="1" applyBorder="1" applyAlignment="1">
      <alignment vertical="center"/>
    </xf>
    <xf numFmtId="170" fontId="88" fillId="4" borderId="25" xfId="6" applyNumberFormat="1" applyFont="1" applyFill="1" applyBorder="1" applyAlignment="1">
      <alignment vertical="center"/>
    </xf>
    <xf numFmtId="170" fontId="88" fillId="4" borderId="51" xfId="6" applyNumberFormat="1" applyFont="1" applyFill="1" applyBorder="1" applyAlignment="1">
      <alignment vertical="center"/>
    </xf>
    <xf numFmtId="0" fontId="36" fillId="0" borderId="0" xfId="6" applyFont="1" applyFill="1" applyBorder="1" applyAlignment="1">
      <alignment horizontal="center" vertical="center"/>
    </xf>
    <xf numFmtId="0" fontId="91" fillId="0" borderId="0" xfId="6" applyFont="1" applyAlignment="1">
      <alignment horizontal="center" vertical="center"/>
    </xf>
    <xf numFmtId="0" fontId="36" fillId="0" borderId="0" xfId="6" applyFont="1" applyAlignment="1">
      <alignment vertical="center" wrapText="1"/>
    </xf>
    <xf numFmtId="0" fontId="36" fillId="0" borderId="10" xfId="6" applyFont="1" applyBorder="1" applyAlignment="1">
      <alignment vertical="center" wrapText="1"/>
    </xf>
    <xf numFmtId="165" fontId="88" fillId="0" borderId="49" xfId="6" applyNumberFormat="1" applyFont="1" applyFill="1" applyBorder="1" applyAlignment="1" applyProtection="1">
      <alignment vertical="center"/>
    </xf>
    <xf numFmtId="165" fontId="88" fillId="0" borderId="0" xfId="6" applyNumberFormat="1" applyFont="1" applyFill="1" applyAlignment="1" applyProtection="1">
      <alignment vertical="center"/>
    </xf>
    <xf numFmtId="165" fontId="88" fillId="0" borderId="15" xfId="6" applyNumberFormat="1" applyFont="1" applyFill="1" applyBorder="1" applyAlignment="1" applyProtection="1">
      <alignment vertical="center"/>
    </xf>
    <xf numFmtId="165" fontId="88" fillId="0" borderId="50" xfId="6" applyNumberFormat="1" applyFont="1" applyFill="1" applyBorder="1" applyAlignment="1" applyProtection="1">
      <alignment vertical="center"/>
    </xf>
    <xf numFmtId="165" fontId="88" fillId="0" borderId="51" xfId="6" applyNumberFormat="1" applyFont="1" applyFill="1" applyBorder="1" applyAlignment="1" applyProtection="1">
      <alignment vertical="center"/>
    </xf>
    <xf numFmtId="0" fontId="36" fillId="0" borderId="86" xfId="6" quotePrefix="1" applyFont="1" applyBorder="1" applyAlignment="1">
      <alignment horizontal="center" vertical="center" wrapText="1"/>
    </xf>
    <xf numFmtId="0" fontId="36" fillId="0" borderId="86" xfId="6" applyFont="1" applyBorder="1" applyAlignment="1">
      <alignment horizontal="center" vertical="center" wrapText="1"/>
    </xf>
    <xf numFmtId="0" fontId="36" fillId="0" borderId="10" xfId="6" quotePrefix="1" applyFont="1" applyBorder="1" applyAlignment="1">
      <alignment horizontal="center" vertical="center" wrapText="1"/>
    </xf>
    <xf numFmtId="0" fontId="36" fillId="4" borderId="0" xfId="6" applyFont="1" applyFill="1" applyBorder="1" applyAlignment="1">
      <alignment vertical="center" wrapText="1"/>
    </xf>
    <xf numFmtId="0" fontId="36" fillId="4" borderId="10" xfId="6" applyFont="1" applyFill="1" applyBorder="1" applyAlignment="1">
      <alignment vertical="center" wrapText="1"/>
    </xf>
    <xf numFmtId="178" fontId="88" fillId="4" borderId="57" xfId="6" applyNumberFormat="1" applyFont="1" applyFill="1" applyBorder="1" applyAlignment="1">
      <alignment vertical="center"/>
    </xf>
    <xf numFmtId="0" fontId="36" fillId="0" borderId="0" xfId="6" applyFont="1" applyFill="1" applyBorder="1" applyAlignment="1">
      <alignment vertical="center" wrapText="1"/>
    </xf>
    <xf numFmtId="0" fontId="36" fillId="0" borderId="10" xfId="6" applyFont="1" applyFill="1" applyBorder="1" applyAlignment="1">
      <alignment vertical="center" wrapText="1"/>
    </xf>
    <xf numFmtId="4" fontId="88" fillId="0" borderId="0" xfId="6" applyNumberFormat="1" applyFont="1" applyFill="1" applyBorder="1" applyAlignment="1" applyProtection="1">
      <alignment vertical="center"/>
    </xf>
    <xf numFmtId="165" fontId="88" fillId="0" borderId="0" xfId="6" applyNumberFormat="1" applyFont="1" applyFill="1" applyBorder="1" applyAlignment="1" applyProtection="1">
      <alignment vertical="center"/>
    </xf>
    <xf numFmtId="0" fontId="91" fillId="4" borderId="0" xfId="6" applyFont="1" applyFill="1" applyAlignment="1">
      <alignment horizontal="center" vertical="center"/>
    </xf>
    <xf numFmtId="178" fontId="89" fillId="4" borderId="49" xfId="6" applyNumberFormat="1" applyFont="1" applyFill="1" applyBorder="1" applyAlignment="1">
      <alignment vertical="center"/>
    </xf>
    <xf numFmtId="178" fontId="89" fillId="4" borderId="0" xfId="6" applyNumberFormat="1" applyFont="1" applyFill="1" applyBorder="1" applyAlignment="1">
      <alignment vertical="center"/>
    </xf>
    <xf numFmtId="170" fontId="89" fillId="4" borderId="15" xfId="6" applyNumberFormat="1" applyFont="1" applyFill="1" applyBorder="1" applyAlignment="1">
      <alignment vertical="center"/>
    </xf>
    <xf numFmtId="178" fontId="89" fillId="4" borderId="50" xfId="6" applyNumberFormat="1" applyFont="1" applyFill="1" applyBorder="1" applyAlignment="1">
      <alignment vertical="center"/>
    </xf>
    <xf numFmtId="178" fontId="89" fillId="4" borderId="51" xfId="6" applyNumberFormat="1" applyFont="1" applyFill="1" applyBorder="1" applyAlignment="1">
      <alignment vertical="center"/>
    </xf>
    <xf numFmtId="0" fontId="92" fillId="0" borderId="72" xfId="2" applyFont="1" applyBorder="1" applyAlignment="1">
      <alignment vertical="center" wrapText="1"/>
    </xf>
    <xf numFmtId="0" fontId="36" fillId="0" borderId="4" xfId="6" applyFont="1" applyFill="1" applyBorder="1" applyAlignment="1">
      <alignment horizontal="center" vertical="center"/>
    </xf>
    <xf numFmtId="0" fontId="87" fillId="0" borderId="4" xfId="2" applyFont="1" applyBorder="1"/>
    <xf numFmtId="0" fontId="36" fillId="0" borderId="86" xfId="6" applyFont="1" applyFill="1" applyBorder="1" applyAlignment="1">
      <alignment vertical="center" wrapText="1"/>
    </xf>
    <xf numFmtId="0" fontId="92" fillId="0" borderId="4" xfId="2" applyFont="1" applyBorder="1" applyAlignment="1">
      <alignment vertical="center" wrapText="1"/>
    </xf>
    <xf numFmtId="0" fontId="87" fillId="4" borderId="0" xfId="2" applyFont="1" applyFill="1" applyAlignment="1">
      <alignment vertical="center"/>
    </xf>
    <xf numFmtId="0" fontId="95" fillId="4" borderId="0" xfId="2" applyFont="1" applyFill="1" applyBorder="1" applyAlignment="1">
      <alignment vertical="center" wrapText="1"/>
    </xf>
    <xf numFmtId="170" fontId="88" fillId="4" borderId="9" xfId="6" applyNumberFormat="1" applyFont="1" applyFill="1" applyBorder="1" applyAlignment="1" applyProtection="1">
      <alignment vertical="center"/>
    </xf>
    <xf numFmtId="170" fontId="88" fillId="4" borderId="46" xfId="6" applyNumberFormat="1" applyFont="1" applyFill="1" applyBorder="1" applyAlignment="1" applyProtection="1">
      <alignment vertical="center"/>
    </xf>
    <xf numFmtId="170" fontId="88" fillId="4" borderId="55" xfId="6" applyNumberFormat="1" applyFont="1" applyFill="1" applyBorder="1" applyAlignment="1" applyProtection="1">
      <alignment vertical="center"/>
    </xf>
    <xf numFmtId="170" fontId="88" fillId="4" borderId="56" xfId="6" applyNumberFormat="1" applyFont="1" applyFill="1" applyBorder="1" applyAlignment="1" applyProtection="1">
      <alignment vertical="center"/>
    </xf>
    <xf numFmtId="0" fontId="87" fillId="0" borderId="0" xfId="2" applyFont="1" applyAlignment="1">
      <alignment vertical="center"/>
    </xf>
    <xf numFmtId="0" fontId="95" fillId="0" borderId="0" xfId="2" applyFont="1" applyBorder="1" applyAlignment="1">
      <alignment vertical="center" wrapText="1"/>
    </xf>
    <xf numFmtId="170" fontId="89" fillId="6" borderId="52" xfId="2" applyNumberFormat="1" applyFont="1" applyFill="1" applyBorder="1" applyAlignment="1" applyProtection="1">
      <alignment horizontal="right" vertical="center"/>
      <protection locked="0"/>
    </xf>
    <xf numFmtId="170" fontId="89" fillId="6" borderId="1" xfId="2" applyNumberFormat="1" applyFont="1" applyFill="1" applyBorder="1" applyAlignment="1" applyProtection="1">
      <alignment horizontal="right" vertical="center"/>
      <protection locked="0"/>
    </xf>
    <xf numFmtId="170" fontId="89" fillId="6" borderId="24" xfId="2" applyNumberFormat="1" applyFont="1" applyFill="1" applyBorder="1" applyAlignment="1" applyProtection="1">
      <alignment horizontal="right" vertical="center"/>
      <protection locked="0"/>
    </xf>
    <xf numFmtId="0" fontId="96" fillId="4" borderId="0" xfId="2" applyFont="1" applyFill="1" applyAlignment="1">
      <alignment vertical="center"/>
    </xf>
    <xf numFmtId="170" fontId="88" fillId="4" borderId="89" xfId="6" applyNumberFormat="1" applyFont="1" applyFill="1" applyBorder="1" applyAlignment="1" applyProtection="1">
      <alignment vertical="center"/>
    </xf>
    <xf numFmtId="170" fontId="88" fillId="4" borderId="3" xfId="6" applyNumberFormat="1" applyFont="1" applyFill="1" applyBorder="1" applyAlignment="1" applyProtection="1">
      <alignment vertical="center"/>
    </xf>
    <xf numFmtId="170" fontId="88" fillId="4" borderId="54" xfId="6" applyNumberFormat="1" applyFont="1" applyFill="1" applyBorder="1" applyAlignment="1" applyProtection="1">
      <alignment vertical="center"/>
    </xf>
    <xf numFmtId="0" fontId="36" fillId="0" borderId="0" xfId="6" applyFont="1" applyBorder="1" applyAlignment="1">
      <alignment horizontal="right" vertical="center" wrapText="1"/>
    </xf>
    <xf numFmtId="0" fontId="87" fillId="0" borderId="0" xfId="2" applyFont="1" applyBorder="1"/>
    <xf numFmtId="0" fontId="8" fillId="0" borderId="4" xfId="4" applyFont="1" applyFill="1" applyBorder="1" applyAlignment="1">
      <alignment horizontal="center" vertical="center" wrapText="1"/>
    </xf>
    <xf numFmtId="0" fontId="8" fillId="2" borderId="4" xfId="4" applyFont="1" applyFill="1" applyBorder="1" applyAlignment="1">
      <alignment horizontal="left" vertical="center"/>
    </xf>
    <xf numFmtId="0" fontId="11" fillId="2" borderId="4" xfId="4" applyFont="1" applyFill="1" applyBorder="1" applyAlignment="1">
      <alignment horizontal="left" vertical="center" wrapText="1"/>
    </xf>
    <xf numFmtId="0" fontId="11" fillId="2" borderId="4" xfId="4" applyFont="1" applyFill="1" applyBorder="1" applyAlignment="1">
      <alignment horizontal="left" vertical="center"/>
    </xf>
    <xf numFmtId="0" fontId="11" fillId="2" borderId="4" xfId="4" applyFont="1" applyFill="1" applyBorder="1" applyAlignment="1">
      <alignment vertical="center"/>
    </xf>
    <xf numFmtId="0" fontId="8" fillId="2" borderId="4" xfId="4" applyFont="1" applyFill="1" applyBorder="1" applyAlignment="1">
      <alignment horizontal="center" vertical="center"/>
    </xf>
    <xf numFmtId="0" fontId="11" fillId="2" borderId="4" xfId="4" applyFont="1" applyFill="1" applyBorder="1" applyAlignment="1">
      <alignment vertical="center" wrapText="1"/>
    </xf>
    <xf numFmtId="0" fontId="11" fillId="2" borderId="4" xfId="4" applyFont="1" applyFill="1" applyBorder="1" applyAlignment="1" applyProtection="1">
      <alignment horizontal="left" vertical="center" wrapText="1"/>
      <protection hidden="1"/>
    </xf>
    <xf numFmtId="0" fontId="61" fillId="6" borderId="102" xfId="5" applyNumberFormat="1" applyFont="1" applyFill="1" applyBorder="1" applyAlignment="1" applyProtection="1">
      <alignment horizontal="center" vertical="center"/>
      <protection locked="0"/>
    </xf>
    <xf numFmtId="0" fontId="61" fillId="6" borderId="103" xfId="5" applyNumberFormat="1" applyFont="1" applyFill="1" applyBorder="1" applyAlignment="1" applyProtection="1">
      <alignment horizontal="center" vertical="center"/>
      <protection locked="0"/>
    </xf>
    <xf numFmtId="0" fontId="61" fillId="0" borderId="104" xfId="5" applyFont="1" applyBorder="1" applyAlignment="1" applyProtection="1">
      <alignment horizontal="center" vertical="center"/>
    </xf>
    <xf numFmtId="0" fontId="16" fillId="0" borderId="98" xfId="4" applyFont="1" applyBorder="1"/>
    <xf numFmtId="0" fontId="16" fillId="0" borderId="0" xfId="4" applyFont="1" applyBorder="1"/>
    <xf numFmtId="0" fontId="11" fillId="0" borderId="0" xfId="4" quotePrefix="1" applyFont="1" applyBorder="1" applyAlignment="1" applyProtection="1">
      <alignment horizontal="center" vertical="center"/>
      <protection hidden="1"/>
    </xf>
    <xf numFmtId="0" fontId="11" fillId="0" borderId="43" xfId="4" quotePrefix="1" applyFont="1" applyBorder="1" applyAlignment="1" applyProtection="1">
      <alignment horizontal="center" vertical="center"/>
      <protection hidden="1"/>
    </xf>
    <xf numFmtId="39" fontId="8" fillId="6" borderId="7" xfId="4" applyNumberFormat="1" applyFont="1" applyFill="1" applyBorder="1" applyAlignment="1" applyProtection="1">
      <alignment vertical="center"/>
      <protection locked="0"/>
    </xf>
    <xf numFmtId="39" fontId="8" fillId="6" borderId="6" xfId="4" applyNumberFormat="1" applyFont="1" applyFill="1" applyBorder="1" applyAlignment="1" applyProtection="1">
      <alignment vertical="center"/>
      <protection locked="0"/>
    </xf>
    <xf numFmtId="39" fontId="8" fillId="6" borderId="45" xfId="4" applyNumberFormat="1" applyFont="1" applyFill="1" applyBorder="1" applyAlignment="1" applyProtection="1">
      <alignment vertical="center"/>
      <protection locked="0"/>
    </xf>
    <xf numFmtId="39" fontId="8" fillId="6" borderId="42" xfId="4" applyNumberFormat="1" applyFont="1" applyFill="1" applyBorder="1" applyAlignment="1" applyProtection="1">
      <alignment vertical="center"/>
      <protection locked="0"/>
    </xf>
    <xf numFmtId="39" fontId="8" fillId="6" borderId="24" xfId="4" applyNumberFormat="1" applyFont="1" applyFill="1" applyBorder="1" applyAlignment="1" applyProtection="1">
      <alignment vertical="center"/>
      <protection locked="0"/>
    </xf>
    <xf numFmtId="178" fontId="11" fillId="2" borderId="3" xfId="4" applyNumberFormat="1" applyFont="1" applyFill="1" applyBorder="1" applyAlignment="1">
      <alignment vertical="center"/>
    </xf>
    <xf numFmtId="178" fontId="11" fillId="2" borderId="8" xfId="4" applyNumberFormat="1" applyFont="1" applyFill="1" applyBorder="1" applyAlignment="1">
      <alignment vertical="center"/>
    </xf>
    <xf numFmtId="178" fontId="11" fillId="2" borderId="23" xfId="4" applyNumberFormat="1" applyFont="1" applyFill="1" applyBorder="1" applyAlignment="1">
      <alignment vertical="center"/>
    </xf>
    <xf numFmtId="178" fontId="11" fillId="2" borderId="2" xfId="4" applyNumberFormat="1" applyFont="1" applyFill="1" applyBorder="1" applyAlignment="1">
      <alignment vertical="center"/>
    </xf>
    <xf numFmtId="170" fontId="11" fillId="2" borderId="3" xfId="4" applyNumberFormat="1" applyFont="1" applyFill="1" applyBorder="1" applyAlignment="1">
      <alignment vertical="center"/>
    </xf>
    <xf numFmtId="170" fontId="11" fillId="2" borderId="23" xfId="4" applyNumberFormat="1" applyFont="1" applyFill="1" applyBorder="1" applyAlignment="1">
      <alignment vertical="center"/>
    </xf>
    <xf numFmtId="170" fontId="11" fillId="2" borderId="8" xfId="4" applyNumberFormat="1" applyFont="1" applyFill="1" applyBorder="1" applyAlignment="1">
      <alignment vertical="center"/>
    </xf>
    <xf numFmtId="170" fontId="11" fillId="2" borderId="2" xfId="4" applyNumberFormat="1" applyFont="1" applyFill="1" applyBorder="1" applyAlignment="1">
      <alignment vertical="center"/>
    </xf>
    <xf numFmtId="170" fontId="11" fillId="2" borderId="4" xfId="4" applyNumberFormat="1" applyFont="1" applyFill="1" applyBorder="1" applyAlignment="1">
      <alignment vertical="center"/>
    </xf>
    <xf numFmtId="170" fontId="11" fillId="2" borderId="54" xfId="4" applyNumberFormat="1" applyFont="1" applyFill="1" applyBorder="1" applyAlignment="1">
      <alignment vertical="center"/>
    </xf>
    <xf numFmtId="0" fontId="97" fillId="0" borderId="0" xfId="4" applyFont="1" applyAlignment="1"/>
    <xf numFmtId="165" fontId="16" fillId="0" borderId="0" xfId="4" applyNumberFormat="1" applyFont="1"/>
    <xf numFmtId="39" fontId="44" fillId="6" borderId="7" xfId="4" applyNumberFormat="1" applyFont="1" applyFill="1" applyBorder="1" applyAlignment="1" applyProtection="1">
      <alignment vertical="center"/>
      <protection locked="0"/>
    </xf>
    <xf numFmtId="0" fontId="28" fillId="0" borderId="108" xfId="8" applyBorder="1"/>
    <xf numFmtId="1" fontId="28" fillId="0" borderId="108" xfId="8" applyNumberFormat="1" applyFont="1" applyBorder="1" applyAlignment="1">
      <alignment horizontal="center"/>
    </xf>
    <xf numFmtId="0" fontId="28" fillId="0" borderId="0" xfId="8" applyBorder="1"/>
    <xf numFmtId="0" fontId="3" fillId="0" borderId="0" xfId="9" applyFont="1" applyBorder="1"/>
    <xf numFmtId="0" fontId="3" fillId="0" borderId="108" xfId="9" applyFont="1" applyBorder="1"/>
    <xf numFmtId="0" fontId="11" fillId="0" borderId="0" xfId="0" applyFont="1" applyAlignment="1" applyProtection="1">
      <alignment horizontal="left" vertical="center"/>
      <protection hidden="1"/>
    </xf>
    <xf numFmtId="4" fontId="8" fillId="6" borderId="1" xfId="0" applyNumberFormat="1" applyFont="1" applyFill="1" applyBorder="1" applyAlignment="1" applyProtection="1">
      <alignment horizontal="center"/>
      <protection locked="0"/>
    </xf>
    <xf numFmtId="0" fontId="11" fillId="0" borderId="0" xfId="0" applyFont="1"/>
    <xf numFmtId="0" fontId="8" fillId="0" borderId="0" xfId="0" applyFont="1"/>
    <xf numFmtId="0" fontId="8" fillId="0" borderId="0" xfId="0" applyFont="1" applyAlignment="1">
      <alignment wrapText="1"/>
    </xf>
    <xf numFmtId="0" fontId="11"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181" fontId="8" fillId="0" borderId="0" xfId="0" applyNumberFormat="1" applyFont="1" applyAlignment="1" applyProtection="1">
      <alignment horizontal="left" vertical="center"/>
      <protection hidden="1"/>
    </xf>
    <xf numFmtId="170" fontId="8" fillId="6" borderId="1" xfId="0" applyNumberFormat="1" applyFont="1" applyFill="1" applyBorder="1" applyAlignment="1" applyProtection="1">
      <alignment horizontal="center"/>
      <protection locked="0"/>
    </xf>
    <xf numFmtId="0" fontId="11" fillId="0" borderId="0" xfId="0" applyFont="1" applyAlignment="1" applyProtection="1">
      <alignment horizontal="left"/>
      <protection hidden="1"/>
    </xf>
    <xf numFmtId="0" fontId="8" fillId="0" borderId="0" xfId="0" applyFont="1" applyAlignment="1" applyProtection="1">
      <alignment horizontal="left" vertical="center"/>
      <protection hidden="1"/>
    </xf>
    <xf numFmtId="0" fontId="8" fillId="0" borderId="0" xfId="0" applyFont="1" applyProtection="1"/>
    <xf numFmtId="0" fontId="8" fillId="0" borderId="0" xfId="0" applyFont="1" applyAlignment="1" applyProtection="1">
      <alignment horizontal="center"/>
      <protection hidden="1"/>
    </xf>
    <xf numFmtId="0" fontId="8" fillId="0" borderId="0" xfId="0" applyFont="1" applyFill="1" applyBorder="1" applyAlignment="1" applyProtection="1">
      <alignment horizontal="center"/>
    </xf>
    <xf numFmtId="0" fontId="11" fillId="0" borderId="0" xfId="0" applyFont="1" applyProtection="1"/>
    <xf numFmtId="0" fontId="98" fillId="0" borderId="0" xfId="0" applyFont="1" applyAlignment="1" applyProtection="1">
      <alignment horizontal="center"/>
      <protection hidden="1"/>
    </xf>
    <xf numFmtId="3" fontId="99" fillId="0" borderId="0" xfId="0" applyNumberFormat="1" applyFont="1" applyFill="1" applyBorder="1" applyAlignment="1" applyProtection="1">
      <alignment horizontal="center"/>
    </xf>
    <xf numFmtId="0" fontId="11" fillId="0" borderId="0" xfId="0" applyFont="1" applyAlignment="1" applyProtection="1">
      <protection hidden="1"/>
    </xf>
    <xf numFmtId="0" fontId="8" fillId="0" borderId="0" xfId="0" applyFont="1" applyAlignment="1" applyProtection="1">
      <alignment wrapText="1"/>
    </xf>
    <xf numFmtId="0" fontId="11" fillId="0" borderId="0" xfId="0" applyFont="1" applyAlignment="1" applyProtection="1">
      <alignment vertical="center"/>
    </xf>
    <xf numFmtId="0" fontId="8" fillId="0" borderId="0" xfId="0" applyFont="1" applyAlignment="1" applyProtection="1">
      <alignment vertical="center"/>
    </xf>
    <xf numFmtId="0" fontId="11" fillId="0" borderId="0" xfId="0" applyFont="1" applyAlignment="1" applyProtection="1">
      <alignment horizontal="center" vertical="center"/>
    </xf>
    <xf numFmtId="0" fontId="100" fillId="0" borderId="0" xfId="0" applyFont="1" applyProtection="1"/>
    <xf numFmtId="0" fontId="99" fillId="0" borderId="0" xfId="0" applyFont="1" applyAlignment="1" applyProtection="1">
      <alignment horizontal="center"/>
      <protection hidden="1"/>
    </xf>
    <xf numFmtId="0" fontId="99" fillId="0" borderId="0" xfId="0" applyFont="1" applyFill="1" applyBorder="1" applyAlignment="1" applyProtection="1">
      <alignment horizontal="center"/>
    </xf>
    <xf numFmtId="5" fontId="100" fillId="0" borderId="0" xfId="12" applyNumberFormat="1" applyFont="1" applyAlignment="1" applyProtection="1">
      <alignment horizontal="right"/>
    </xf>
    <xf numFmtId="0" fontId="100" fillId="0" borderId="0" xfId="0" applyFont="1" applyBorder="1" applyAlignment="1" applyProtection="1">
      <protection hidden="1"/>
    </xf>
    <xf numFmtId="0" fontId="8" fillId="0" borderId="0" xfId="0" applyFont="1" applyFill="1" applyBorder="1" applyAlignment="1" applyProtection="1">
      <alignment horizontal="center"/>
      <protection locked="0"/>
    </xf>
    <xf numFmtId="3" fontId="99" fillId="0" borderId="0"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protection hidden="1"/>
    </xf>
    <xf numFmtId="3" fontId="99" fillId="0" borderId="0" xfId="0" applyNumberFormat="1" applyFont="1" applyFill="1" applyBorder="1" applyAlignment="1" applyProtection="1">
      <alignment horizontal="center"/>
      <protection locked="0"/>
    </xf>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top"/>
    </xf>
    <xf numFmtId="0" fontId="11" fillId="0" borderId="0" xfId="0" applyFont="1" applyAlignment="1" applyProtection="1">
      <alignment vertical="top"/>
    </xf>
    <xf numFmtId="0" fontId="11" fillId="6" borderId="71" xfId="0" applyFont="1" applyFill="1" applyBorder="1" applyAlignment="1" applyProtection="1">
      <alignment horizontal="center" vertical="top"/>
      <protection locked="0"/>
    </xf>
    <xf numFmtId="0" fontId="8" fillId="0" borderId="0" xfId="0" applyFont="1" applyAlignment="1">
      <alignment vertical="top"/>
    </xf>
    <xf numFmtId="0" fontId="8" fillId="0" borderId="0" xfId="0" applyFont="1" applyAlignment="1" applyProtection="1">
      <alignment vertical="top"/>
    </xf>
    <xf numFmtId="0" fontId="8" fillId="0" borderId="0" xfId="0" applyFont="1" applyFill="1" applyBorder="1" applyAlignment="1" applyProtection="1">
      <alignment horizontal="left" vertical="top"/>
      <protection locked="0"/>
    </xf>
    <xf numFmtId="0" fontId="8" fillId="0" borderId="0" xfId="0" applyFont="1" applyAlignment="1" applyProtection="1">
      <alignment horizontal="left" vertical="top"/>
      <protection hidden="1"/>
    </xf>
    <xf numFmtId="0" fontId="102" fillId="0" borderId="0" xfId="0" applyFont="1"/>
    <xf numFmtId="0" fontId="103" fillId="0" borderId="0" xfId="0" applyFont="1"/>
    <xf numFmtId="170" fontId="61" fillId="0" borderId="72" xfId="0" applyNumberFormat="1" applyFont="1" applyBorder="1" applyAlignment="1">
      <alignment horizontal="center" vertical="center"/>
    </xf>
    <xf numFmtId="170" fontId="61" fillId="0" borderId="4" xfId="0" applyNumberFormat="1" applyFont="1" applyBorder="1" applyAlignment="1" applyProtection="1">
      <alignment horizontal="center" vertical="center" wrapText="1"/>
      <protection hidden="1"/>
    </xf>
    <xf numFmtId="170" fontId="61" fillId="0" borderId="4" xfId="0" applyNumberFormat="1" applyFont="1" applyBorder="1" applyAlignment="1">
      <alignment horizontal="center" vertical="center"/>
    </xf>
    <xf numFmtId="0" fontId="45" fillId="0" borderId="0" xfId="0" applyFont="1" applyAlignment="1" applyProtection="1">
      <alignment vertical="center" wrapText="1"/>
      <protection hidden="1"/>
    </xf>
    <xf numFmtId="0" fontId="0" fillId="0" borderId="0" xfId="0" applyAlignment="1" applyProtection="1">
      <alignment vertical="center"/>
    </xf>
    <xf numFmtId="0" fontId="0" fillId="0" borderId="0" xfId="0" applyAlignment="1">
      <alignment vertical="center"/>
    </xf>
    <xf numFmtId="0" fontId="0" fillId="0" borderId="0" xfId="0" applyAlignment="1" applyProtection="1">
      <alignment vertical="center" wrapText="1"/>
    </xf>
    <xf numFmtId="0" fontId="0" fillId="0" borderId="0" xfId="0" applyFont="1" applyAlignment="1">
      <alignment wrapText="1"/>
    </xf>
    <xf numFmtId="0" fontId="0" fillId="0" borderId="0" xfId="0" applyFont="1" applyAlignment="1"/>
    <xf numFmtId="9" fontId="101" fillId="0" borderId="21" xfId="0" applyNumberFormat="1" applyFont="1" applyBorder="1" applyAlignment="1">
      <alignment horizontal="center" vertical="center" wrapText="1"/>
    </xf>
    <xf numFmtId="176" fontId="66" fillId="0" borderId="72" xfId="7" applyNumberFormat="1" applyFont="1" applyFill="1" applyBorder="1" applyAlignment="1" applyProtection="1">
      <alignment vertical="center"/>
    </xf>
    <xf numFmtId="166" fontId="34" fillId="0" borderId="9" xfId="7" applyNumberFormat="1" applyFont="1" applyFill="1" applyBorder="1" applyAlignment="1">
      <alignment vertical="center"/>
    </xf>
    <xf numFmtId="166" fontId="104" fillId="0" borderId="0" xfId="7" applyNumberFormat="1" applyFont="1" applyFill="1" applyBorder="1" applyAlignment="1" applyProtection="1">
      <alignment vertical="center"/>
    </xf>
    <xf numFmtId="4" fontId="89" fillId="6" borderId="72" xfId="2" applyNumberFormat="1" applyFont="1" applyFill="1" applyBorder="1" applyAlignment="1" applyProtection="1">
      <alignment horizontal="right" vertical="center"/>
      <protection locked="0"/>
    </xf>
    <xf numFmtId="0" fontId="41" fillId="0" borderId="4" xfId="6" applyFont="1" applyBorder="1" applyAlignment="1">
      <alignment vertical="top" wrapText="1"/>
    </xf>
    <xf numFmtId="0" fontId="36" fillId="0" borderId="10" xfId="6" applyFont="1" applyBorder="1" applyAlignment="1">
      <alignment horizontal="center" vertical="center" wrapText="1"/>
    </xf>
    <xf numFmtId="0" fontId="94" fillId="5" borderId="4" xfId="2" applyFont="1" applyFill="1" applyBorder="1" applyAlignment="1">
      <alignment vertical="center" wrapText="1"/>
    </xf>
    <xf numFmtId="4" fontId="66" fillId="0" borderId="1" xfId="0" applyNumberFormat="1" applyFont="1" applyFill="1" applyBorder="1" applyAlignment="1" applyProtection="1">
      <alignment vertical="center"/>
    </xf>
    <xf numFmtId="0" fontId="47" fillId="0" borderId="0" xfId="0" applyFont="1" applyAlignment="1" applyProtection="1">
      <alignment vertical="center" wrapText="1"/>
      <protection hidden="1"/>
    </xf>
    <xf numFmtId="172" fontId="8" fillId="0" borderId="0" xfId="4" applyNumberFormat="1" applyFont="1" applyFill="1" applyBorder="1" applyAlignment="1" applyProtection="1">
      <alignment vertical="center"/>
      <protection locked="0"/>
    </xf>
    <xf numFmtId="0" fontId="0" fillId="0" borderId="0" xfId="0" applyAlignment="1"/>
    <xf numFmtId="0" fontId="0" fillId="0" borderId="0" xfId="0" applyAlignment="1" applyProtection="1">
      <alignment vertical="center"/>
    </xf>
    <xf numFmtId="0" fontId="0" fillId="0" borderId="0" xfId="0" applyAlignment="1">
      <alignment vertical="center"/>
    </xf>
    <xf numFmtId="0" fontId="0" fillId="0" borderId="0" xfId="0" applyAlignment="1" applyProtection="1">
      <alignment vertical="center" wrapText="1"/>
    </xf>
    <xf numFmtId="166" fontId="66" fillId="0" borderId="0" xfId="7" applyNumberFormat="1" applyFont="1" applyFill="1" applyBorder="1" applyAlignment="1" applyProtection="1">
      <alignment horizontal="left" vertical="center" wrapText="1"/>
    </xf>
    <xf numFmtId="0" fontId="0" fillId="0" borderId="0" xfId="0" applyAlignment="1">
      <alignment horizontal="left" vertical="center"/>
    </xf>
    <xf numFmtId="4" fontId="8" fillId="6" borderId="7" xfId="4" applyNumberFormat="1" applyFont="1" applyFill="1" applyBorder="1" applyAlignment="1" applyProtection="1">
      <alignment vertical="center"/>
      <protection locked="0"/>
    </xf>
    <xf numFmtId="4" fontId="8" fillId="6" borderId="3" xfId="4" applyNumberFormat="1" applyFont="1" applyFill="1" applyBorder="1" applyAlignment="1" applyProtection="1">
      <alignment vertical="center"/>
      <protection locked="0"/>
    </xf>
    <xf numFmtId="0" fontId="0" fillId="0" borderId="0" xfId="0" applyAlignment="1" applyProtection="1">
      <alignment vertical="center"/>
    </xf>
    <xf numFmtId="0" fontId="0" fillId="0" borderId="0" xfId="0" applyAlignment="1">
      <alignment vertical="center"/>
    </xf>
    <xf numFmtId="177" fontId="0" fillId="0" borderId="0" xfId="0" applyNumberFormat="1" applyFont="1" applyFill="1" applyAlignment="1" applyProtection="1">
      <alignment vertical="center"/>
    </xf>
    <xf numFmtId="176" fontId="6" fillId="0" borderId="0" xfId="0" applyNumberFormat="1" applyFont="1" applyFill="1" applyBorder="1" applyAlignment="1" applyProtection="1">
      <alignment vertical="center"/>
    </xf>
    <xf numFmtId="4" fontId="8" fillId="0" borderId="7" xfId="4" applyNumberFormat="1" applyFont="1" applyFill="1" applyBorder="1" applyAlignment="1" applyProtection="1">
      <alignment vertical="center"/>
    </xf>
    <xf numFmtId="0" fontId="0" fillId="0" borderId="0" xfId="0" applyFill="1" applyAlignment="1">
      <alignment vertical="center"/>
    </xf>
    <xf numFmtId="2" fontId="0" fillId="0" borderId="0" xfId="0" applyNumberFormat="1" applyFont="1" applyFill="1" applyAlignment="1" applyProtection="1">
      <alignment vertical="center"/>
    </xf>
    <xf numFmtId="4" fontId="8" fillId="0" borderId="0" xfId="4" applyNumberFormat="1" applyFont="1" applyFill="1" applyBorder="1" applyAlignment="1" applyProtection="1">
      <alignment vertical="center"/>
    </xf>
    <xf numFmtId="49" fontId="36" fillId="0" borderId="4" xfId="6" applyNumberFormat="1" applyFont="1" applyBorder="1" applyAlignment="1">
      <alignment horizontal="center" vertical="center"/>
    </xf>
    <xf numFmtId="2" fontId="0" fillId="0" borderId="0" xfId="0" applyNumberFormat="1" applyFont="1" applyFill="1" applyAlignment="1" applyProtection="1">
      <alignment horizontal="center" vertical="center"/>
    </xf>
    <xf numFmtId="0" fontId="0" fillId="0" borderId="0" xfId="0" applyFont="1" applyFill="1" applyAlignment="1" applyProtection="1">
      <alignment vertical="center"/>
    </xf>
    <xf numFmtId="0" fontId="45" fillId="0" borderId="0" xfId="0" applyFont="1" applyAlignment="1" applyProtection="1">
      <alignment vertical="center" wrapText="1"/>
      <protection hidden="1"/>
    </xf>
    <xf numFmtId="0" fontId="5" fillId="0" borderId="0" xfId="7" applyFont="1" applyFill="1" applyBorder="1" applyAlignment="1">
      <alignment horizontal="left"/>
    </xf>
    <xf numFmtId="0" fontId="36" fillId="5" borderId="72" xfId="6" applyFont="1" applyFill="1" applyBorder="1" applyAlignment="1">
      <alignment vertical="top" wrapText="1"/>
    </xf>
    <xf numFmtId="0" fontId="36" fillId="5" borderId="72" xfId="6" applyFont="1" applyFill="1" applyBorder="1" applyAlignment="1">
      <alignment vertical="center" wrapText="1"/>
    </xf>
    <xf numFmtId="0" fontId="0" fillId="0" borderId="0" xfId="0" applyFont="1" applyAlignment="1">
      <alignment vertical="center"/>
    </xf>
    <xf numFmtId="0" fontId="45" fillId="0" borderId="0" xfId="0" applyFont="1" applyAlignment="1" applyProtection="1">
      <alignment vertical="top" wrapText="1"/>
      <protection hidden="1"/>
    </xf>
    <xf numFmtId="0" fontId="45" fillId="0" borderId="0" xfId="0" applyFont="1" applyAlignment="1" applyProtection="1">
      <alignment vertical="center" wrapText="1"/>
      <protection hidden="1"/>
    </xf>
    <xf numFmtId="0" fontId="0" fillId="0" borderId="0" xfId="0" applyAlignment="1" applyProtection="1">
      <alignment vertical="center"/>
    </xf>
    <xf numFmtId="0" fontId="45" fillId="0" borderId="0" xfId="0" applyFont="1" applyAlignment="1" applyProtection="1">
      <alignment vertical="center" wrapText="1"/>
    </xf>
    <xf numFmtId="0" fontId="45" fillId="0" borderId="0" xfId="0" applyFont="1" applyAlignment="1">
      <alignment vertical="center"/>
    </xf>
    <xf numFmtId="0" fontId="0" fillId="0" borderId="0" xfId="0" applyAlignment="1">
      <alignment vertical="center"/>
    </xf>
    <xf numFmtId="0" fontId="45" fillId="0" borderId="0" xfId="0" applyFont="1" applyAlignment="1" applyProtection="1">
      <alignment vertical="top" wrapText="1"/>
    </xf>
    <xf numFmtId="0" fontId="45" fillId="0" borderId="0" xfId="0" applyFont="1" applyAlignment="1" applyProtection="1">
      <alignment vertical="top"/>
    </xf>
    <xf numFmtId="1" fontId="45" fillId="0" borderId="0" xfId="7" applyNumberFormat="1" applyFon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lignment vertical="center" wrapText="1"/>
    </xf>
    <xf numFmtId="0" fontId="0" fillId="0" borderId="0" xfId="0" applyAlignment="1" applyProtection="1">
      <alignment vertical="center"/>
      <protection locked="0"/>
    </xf>
    <xf numFmtId="0" fontId="105" fillId="0" borderId="0" xfId="15" applyFont="1"/>
    <xf numFmtId="4" fontId="105" fillId="0" borderId="0" xfId="15" applyNumberFormat="1" applyFont="1"/>
    <xf numFmtId="4" fontId="105" fillId="0" borderId="0" xfId="15" applyNumberFormat="1" applyFont="1" applyFill="1" applyAlignment="1">
      <alignment horizontal="right"/>
    </xf>
    <xf numFmtId="0" fontId="105" fillId="0" borderId="0" xfId="15" applyFont="1" applyFill="1"/>
    <xf numFmtId="0" fontId="106" fillId="0" borderId="0" xfId="15" applyFont="1" applyFill="1"/>
    <xf numFmtId="4" fontId="106" fillId="5" borderId="0" xfId="15" applyNumberFormat="1" applyFont="1" applyFill="1" applyAlignment="1">
      <alignment horizontal="center"/>
    </xf>
    <xf numFmtId="185" fontId="105" fillId="5" borderId="0" xfId="15" applyNumberFormat="1" applyFont="1" applyFill="1"/>
    <xf numFmtId="0" fontId="105" fillId="5" borderId="0" xfId="15" applyFont="1" applyFill="1"/>
    <xf numFmtId="0" fontId="106" fillId="5" borderId="0" xfId="15" applyFont="1" applyFill="1"/>
    <xf numFmtId="185" fontId="105" fillId="0" borderId="0" xfId="15" applyNumberFormat="1" applyFont="1" applyFill="1"/>
    <xf numFmtId="0" fontId="107" fillId="0" borderId="0" xfId="15" applyFont="1" applyFill="1"/>
    <xf numFmtId="0" fontId="107" fillId="0" borderId="0" xfId="15" applyFont="1"/>
    <xf numFmtId="0" fontId="106" fillId="0" borderId="0" xfId="15" applyFont="1"/>
    <xf numFmtId="0" fontId="105" fillId="0" borderId="98" xfId="15" applyFont="1" applyFill="1" applyBorder="1"/>
    <xf numFmtId="0" fontId="106" fillId="0" borderId="98" xfId="15" applyFont="1" applyFill="1" applyBorder="1"/>
    <xf numFmtId="0" fontId="105" fillId="0" borderId="98" xfId="15" applyFont="1" applyBorder="1"/>
    <xf numFmtId="4" fontId="106" fillId="0" borderId="0" xfId="15" applyNumberFormat="1" applyFont="1" applyFill="1" applyAlignment="1">
      <alignment horizontal="center"/>
    </xf>
    <xf numFmtId="0" fontId="105" fillId="14" borderId="0" xfId="15" applyFont="1" applyFill="1"/>
    <xf numFmtId="4" fontId="106" fillId="14" borderId="0" xfId="15" applyNumberFormat="1" applyFont="1" applyFill="1" applyAlignment="1">
      <alignment horizontal="center"/>
    </xf>
    <xf numFmtId="0" fontId="106" fillId="14" borderId="0" xfId="15" applyFont="1" applyFill="1"/>
    <xf numFmtId="0" fontId="105" fillId="0" borderId="0" xfId="15" applyFont="1" applyAlignment="1">
      <alignment horizontal="left" wrapText="1"/>
    </xf>
    <xf numFmtId="185" fontId="107" fillId="0" borderId="0" xfId="15" applyNumberFormat="1" applyFont="1" applyFill="1" applyAlignment="1">
      <alignment horizontal="right" wrapText="1"/>
    </xf>
    <xf numFmtId="4" fontId="105" fillId="0" borderId="0" xfId="15" applyNumberFormat="1" applyFont="1" applyFill="1"/>
    <xf numFmtId="0" fontId="105" fillId="0" borderId="0" xfId="15" applyFont="1" applyFill="1" applyAlignment="1">
      <alignment horizontal="left" vertical="top" wrapText="1"/>
    </xf>
    <xf numFmtId="4" fontId="105" fillId="14" borderId="0" xfId="15" applyNumberFormat="1" applyFont="1" applyFill="1"/>
    <xf numFmtId="0" fontId="105" fillId="14" borderId="0" xfId="15" applyFont="1" applyFill="1" applyAlignment="1">
      <alignment horizontal="left" vertical="top" wrapText="1"/>
    </xf>
    <xf numFmtId="0" fontId="105" fillId="0" borderId="0" xfId="15" applyFont="1" applyAlignment="1">
      <alignment vertical="center"/>
    </xf>
    <xf numFmtId="0" fontId="106" fillId="0" borderId="0" xfId="15" applyFont="1" applyAlignment="1">
      <alignment vertical="center"/>
    </xf>
    <xf numFmtId="0" fontId="105" fillId="0" borderId="0" xfId="15" applyFont="1" applyFill="1" applyBorder="1"/>
    <xf numFmtId="0" fontId="105" fillId="0" borderId="0" xfId="15" applyFont="1" applyAlignment="1">
      <alignment vertical="center" wrapText="1"/>
    </xf>
    <xf numFmtId="0" fontId="105" fillId="0" borderId="0" xfId="15" applyFont="1" applyAlignment="1">
      <alignment horizontal="right" vertical="center"/>
    </xf>
    <xf numFmtId="186" fontId="6" fillId="0" borderId="0" xfId="16" applyNumberFormat="1" applyFont="1"/>
    <xf numFmtId="186" fontId="6" fillId="0" borderId="0" xfId="16" applyNumberFormat="1" applyFont="1" applyFill="1"/>
    <xf numFmtId="0" fontId="105" fillId="12" borderId="0" xfId="15" applyFont="1" applyFill="1"/>
    <xf numFmtId="186" fontId="6" fillId="12" borderId="0" xfId="16" applyNumberFormat="1" applyFont="1" applyFill="1"/>
    <xf numFmtId="0" fontId="106" fillId="12" borderId="0" xfId="15" applyFont="1" applyFill="1"/>
    <xf numFmtId="186" fontId="7" fillId="15" borderId="0" xfId="16" applyNumberFormat="1" applyFont="1" applyFill="1"/>
    <xf numFmtId="186" fontId="105" fillId="0" borderId="0" xfId="15" applyNumberFormat="1" applyFont="1"/>
    <xf numFmtId="186" fontId="6" fillId="0" borderId="98" xfId="16" applyNumberFormat="1" applyFont="1" applyBorder="1"/>
    <xf numFmtId="0" fontId="106" fillId="0" borderId="0" xfId="15" applyFont="1" applyFill="1" applyBorder="1" applyAlignment="1">
      <alignment horizontal="center" vertical="center" wrapText="1"/>
    </xf>
    <xf numFmtId="0" fontId="106" fillId="0" borderId="0" xfId="15" applyFont="1" applyFill="1" applyBorder="1" applyAlignment="1">
      <alignment horizontal="left" vertical="center" wrapText="1"/>
    </xf>
    <xf numFmtId="0" fontId="106" fillId="16" borderId="116" xfId="15" applyFont="1" applyFill="1" applyBorder="1" applyAlignment="1">
      <alignment horizontal="center" vertical="center" wrapText="1"/>
    </xf>
    <xf numFmtId="0" fontId="95" fillId="0" borderId="0" xfId="15" applyFont="1"/>
    <xf numFmtId="0" fontId="95" fillId="5" borderId="0" xfId="15" applyFont="1" applyFill="1"/>
    <xf numFmtId="0" fontId="95" fillId="15" borderId="0" xfId="15" applyFont="1" applyFill="1"/>
    <xf numFmtId="0" fontId="109" fillId="0" borderId="0" xfId="15" applyFont="1"/>
    <xf numFmtId="0" fontId="0" fillId="0" borderId="0" xfId="0" applyAlignment="1"/>
    <xf numFmtId="0" fontId="11" fillId="0" borderId="0" xfId="0" applyFont="1" applyAlignment="1" applyProtection="1">
      <alignment horizontal="center" vertical="center" wrapText="1"/>
      <protection hidden="1"/>
    </xf>
    <xf numFmtId="4" fontId="8" fillId="6" borderId="1" xfId="0" applyNumberFormat="1" applyFont="1" applyFill="1" applyBorder="1" applyAlignment="1" applyProtection="1">
      <alignment horizontal="center"/>
      <protection locked="0"/>
    </xf>
    <xf numFmtId="0" fontId="44" fillId="0" borderId="4" xfId="4" applyFont="1" applyFill="1" applyBorder="1" applyAlignment="1" applyProtection="1">
      <alignment vertical="center" wrapText="1"/>
    </xf>
    <xf numFmtId="0" fontId="61" fillId="0" borderId="4" xfId="4" applyFont="1" applyFill="1" applyBorder="1" applyAlignment="1" applyProtection="1">
      <alignment vertical="center"/>
    </xf>
    <xf numFmtId="0" fontId="61" fillId="0" borderId="4" xfId="4" applyFont="1" applyFill="1" applyBorder="1" applyAlignment="1" applyProtection="1">
      <alignment vertical="center" wrapText="1"/>
    </xf>
    <xf numFmtId="0" fontId="44" fillId="0" borderId="9" xfId="4" applyFont="1" applyFill="1" applyBorder="1" applyAlignment="1" applyProtection="1">
      <alignment vertical="center" wrapText="1"/>
    </xf>
    <xf numFmtId="0" fontId="44" fillId="0" borderId="96" xfId="4" applyFont="1" applyFill="1" applyBorder="1" applyAlignment="1" applyProtection="1">
      <alignment vertical="center" wrapText="1"/>
    </xf>
    <xf numFmtId="0" fontId="44" fillId="0" borderId="72" xfId="4" applyFont="1" applyFill="1" applyBorder="1" applyAlignment="1" applyProtection="1">
      <alignment vertical="center"/>
    </xf>
    <xf numFmtId="0" fontId="61" fillId="0" borderId="72" xfId="4" applyFont="1" applyFill="1" applyBorder="1" applyAlignment="1" applyProtection="1">
      <alignment vertical="center"/>
    </xf>
    <xf numFmtId="0" fontId="11" fillId="0" borderId="0" xfId="0" applyFont="1" applyAlignment="1">
      <alignment horizontal="left"/>
    </xf>
    <xf numFmtId="178" fontId="8" fillId="0" borderId="72" xfId="0" applyNumberFormat="1" applyFont="1" applyFill="1" applyBorder="1" applyAlignment="1" applyProtection="1">
      <alignment horizontal="center"/>
    </xf>
    <xf numFmtId="0" fontId="45" fillId="0" borderId="0" xfId="0" applyFont="1" applyAlignment="1" applyProtection="1">
      <alignment vertical="center" wrapText="1"/>
      <protection hidden="1"/>
    </xf>
    <xf numFmtId="1" fontId="105" fillId="0" borderId="0" xfId="15" applyNumberFormat="1" applyFont="1"/>
    <xf numFmtId="186" fontId="108" fillId="13" borderId="0" xfId="16" applyNumberFormat="1" applyFont="1" applyFill="1" applyProtection="1">
      <protection locked="0"/>
    </xf>
    <xf numFmtId="186" fontId="108" fillId="13" borderId="98" xfId="16" applyNumberFormat="1" applyFont="1" applyFill="1" applyBorder="1" applyProtection="1">
      <protection locked="0"/>
    </xf>
    <xf numFmtId="0" fontId="0" fillId="0" borderId="0" xfId="0" applyAlignment="1" applyProtection="1">
      <alignment vertical="center"/>
    </xf>
    <xf numFmtId="1" fontId="45" fillId="0" borderId="0" xfId="7" applyNumberFormat="1" applyFon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vertical="center"/>
    </xf>
    <xf numFmtId="0" fontId="0" fillId="0" borderId="0" xfId="0" quotePrefix="1" applyAlignment="1" applyProtection="1">
      <alignment vertical="center"/>
    </xf>
    <xf numFmtId="49" fontId="6" fillId="0" borderId="0" xfId="0" applyNumberFormat="1" applyFont="1" applyBorder="1" applyAlignment="1" applyProtection="1">
      <alignment horizontal="left" vertical="top"/>
      <protection locked="0"/>
    </xf>
    <xf numFmtId="186" fontId="105" fillId="4" borderId="0" xfId="15" applyNumberFormat="1" applyFont="1" applyFill="1"/>
    <xf numFmtId="185" fontId="51" fillId="0" borderId="117" xfId="16" applyNumberFormat="1" applyFont="1" applyFill="1" applyBorder="1" applyAlignment="1">
      <alignment horizontal="center"/>
    </xf>
    <xf numFmtId="44" fontId="105" fillId="13" borderId="0" xfId="15" applyNumberFormat="1" applyFont="1" applyFill="1" applyAlignment="1" applyProtection="1">
      <alignment vertical="center"/>
      <protection locked="0"/>
    </xf>
    <xf numFmtId="44" fontId="107" fillId="0" borderId="21" xfId="15" applyNumberFormat="1" applyFont="1" applyFill="1" applyBorder="1" applyAlignment="1">
      <alignment vertical="center"/>
    </xf>
    <xf numFmtId="0" fontId="107" fillId="0" borderId="117" xfId="15" applyFont="1" applyFill="1" applyBorder="1" applyAlignment="1">
      <alignment horizontal="center" vertical="center"/>
    </xf>
    <xf numFmtId="0" fontId="107" fillId="0" borderId="0" xfId="15" applyFont="1" applyFill="1" applyBorder="1"/>
    <xf numFmtId="185" fontId="107" fillId="0" borderId="0" xfId="15" applyNumberFormat="1" applyFont="1" applyFill="1" applyAlignment="1">
      <alignment horizontal="center"/>
    </xf>
    <xf numFmtId="0" fontId="107" fillId="0" borderId="98" xfId="15" applyFont="1" applyFill="1" applyBorder="1"/>
    <xf numFmtId="185" fontId="107" fillId="0" borderId="98" xfId="15" applyNumberFormat="1" applyFont="1" applyFill="1" applyBorder="1" applyAlignment="1">
      <alignment horizontal="center"/>
    </xf>
    <xf numFmtId="0" fontId="107" fillId="13" borderId="0" xfId="15" applyNumberFormat="1" applyFont="1" applyFill="1" applyAlignment="1" applyProtection="1">
      <alignment horizontal="right" vertical="center"/>
      <protection locked="0"/>
    </xf>
    <xf numFmtId="185" fontId="107" fillId="0" borderId="0" xfId="15" applyNumberFormat="1" applyFont="1" applyAlignment="1">
      <alignment horizontal="center"/>
    </xf>
    <xf numFmtId="0" fontId="107" fillId="0" borderId="0" xfId="15" applyFont="1" applyAlignment="1">
      <alignment horizontal="right"/>
    </xf>
    <xf numFmtId="185" fontId="107" fillId="0" borderId="117" xfId="15" applyNumberFormat="1" applyFont="1" applyFill="1" applyBorder="1" applyAlignment="1">
      <alignment horizontal="center"/>
    </xf>
    <xf numFmtId="44" fontId="107" fillId="0" borderId="117" xfId="15" applyNumberFormat="1" applyFont="1" applyFill="1" applyBorder="1"/>
    <xf numFmtId="42" fontId="106" fillId="13" borderId="0" xfId="15" applyNumberFormat="1" applyFont="1" applyFill="1" applyBorder="1" applyAlignment="1" applyProtection="1">
      <alignment horizontal="right" wrapText="1"/>
      <protection locked="0"/>
    </xf>
    <xf numFmtId="42" fontId="105" fillId="4" borderId="0" xfId="15" applyNumberFormat="1" applyFont="1" applyFill="1"/>
    <xf numFmtId="44" fontId="105" fillId="13" borderId="0" xfId="15" applyNumberFormat="1" applyFont="1" applyFill="1" applyProtection="1">
      <protection locked="0"/>
    </xf>
    <xf numFmtId="44" fontId="107" fillId="13" borderId="21" xfId="15" applyNumberFormat="1" applyFont="1" applyFill="1" applyBorder="1" applyProtection="1">
      <protection locked="0"/>
    </xf>
    <xf numFmtId="44" fontId="105" fillId="13" borderId="98" xfId="15" applyNumberFormat="1" applyFont="1" applyFill="1" applyBorder="1" applyProtection="1">
      <protection locked="0"/>
    </xf>
    <xf numFmtId="44" fontId="106" fillId="0" borderId="0" xfId="15" applyNumberFormat="1" applyFont="1" applyFill="1" applyAlignment="1">
      <alignment horizontal="right"/>
    </xf>
    <xf numFmtId="44" fontId="105" fillId="0" borderId="0" xfId="15" applyNumberFormat="1" applyFont="1" applyFill="1" applyAlignment="1">
      <alignment horizontal="right"/>
    </xf>
    <xf numFmtId="44" fontId="107" fillId="0" borderId="0" xfId="15" applyNumberFormat="1" applyFont="1" applyFill="1" applyAlignment="1">
      <alignment horizontal="right"/>
    </xf>
    <xf numFmtId="44" fontId="105" fillId="0" borderId="0" xfId="15" applyNumberFormat="1" applyFont="1" applyFill="1"/>
    <xf numFmtId="185" fontId="106" fillId="0" borderId="117" xfId="15" applyNumberFormat="1" applyFont="1" applyFill="1" applyBorder="1" applyAlignment="1">
      <alignment horizontal="center"/>
    </xf>
    <xf numFmtId="44" fontId="106" fillId="4" borderId="21" xfId="15" applyNumberFormat="1" applyFont="1" applyFill="1" applyBorder="1"/>
    <xf numFmtId="44" fontId="105" fillId="0" borderId="117" xfId="15" applyNumberFormat="1" applyFont="1" applyFill="1" applyBorder="1" applyProtection="1"/>
    <xf numFmtId="44" fontId="107" fillId="4" borderId="0" xfId="15" applyNumberFormat="1" applyFont="1" applyFill="1"/>
    <xf numFmtId="42" fontId="107" fillId="0" borderId="117" xfId="15" applyNumberFormat="1" applyFont="1" applyFill="1" applyBorder="1" applyAlignment="1">
      <alignment horizontal="center" vertical="center"/>
    </xf>
    <xf numFmtId="49" fontId="0" fillId="0" borderId="0" xfId="0" applyNumberFormat="1" applyBorder="1" applyAlignment="1" applyProtection="1">
      <alignment vertical="top"/>
    </xf>
    <xf numFmtId="49" fontId="6" fillId="0" borderId="0" xfId="0" applyNumberFormat="1" applyFont="1" applyFill="1" applyBorder="1" applyAlignment="1" applyProtection="1">
      <alignment horizontal="left" vertical="top"/>
      <protection locked="0"/>
    </xf>
    <xf numFmtId="0" fontId="84" fillId="0" borderId="15" xfId="8" applyFont="1" applyBorder="1"/>
    <xf numFmtId="0" fontId="84" fillId="0" borderId="16" xfId="8" applyFont="1" applyBorder="1"/>
    <xf numFmtId="0" fontId="86" fillId="0" borderId="15" xfId="8" applyFont="1" applyBorder="1" applyAlignment="1">
      <alignment horizontal="center"/>
    </xf>
    <xf numFmtId="0" fontId="86" fillId="0" borderId="16" xfId="8" applyFont="1" applyBorder="1"/>
    <xf numFmtId="0" fontId="86" fillId="0" borderId="22" xfId="8" applyFont="1" applyBorder="1" applyAlignment="1">
      <alignment horizontal="center"/>
    </xf>
    <xf numFmtId="0" fontId="86" fillId="0" borderId="20" xfId="8" applyFont="1" applyBorder="1"/>
    <xf numFmtId="0" fontId="84" fillId="0" borderId="62" xfId="8" applyFont="1" applyBorder="1" applyAlignment="1">
      <alignment horizontal="center"/>
    </xf>
    <xf numFmtId="0" fontId="84" fillId="0" borderId="21" xfId="8" applyFont="1" applyBorder="1" applyAlignment="1">
      <alignment horizontal="center"/>
    </xf>
    <xf numFmtId="0" fontId="84" fillId="0" borderId="63" xfId="8" applyFont="1" applyBorder="1" applyAlignment="1">
      <alignment horizontal="center"/>
    </xf>
    <xf numFmtId="0" fontId="86" fillId="0" borderId="21" xfId="8" applyFont="1" applyFill="1" applyBorder="1"/>
    <xf numFmtId="0" fontId="84" fillId="0" borderId="109" xfId="2" applyFont="1" applyFill="1" applyBorder="1" applyAlignment="1">
      <alignment horizontal="center" vertical="center"/>
    </xf>
    <xf numFmtId="0" fontId="86" fillId="0" borderId="15" xfId="8" applyFont="1" applyBorder="1"/>
    <xf numFmtId="0" fontId="61" fillId="16" borderId="104" xfId="5" applyFont="1" applyFill="1" applyBorder="1" applyAlignment="1" applyProtection="1">
      <alignment horizontal="center" vertical="center"/>
    </xf>
    <xf numFmtId="0" fontId="3" fillId="0" borderId="0" xfId="9" applyBorder="1"/>
    <xf numFmtId="183" fontId="28" fillId="0" borderId="12" xfId="12" applyNumberFormat="1" applyFont="1" applyBorder="1"/>
    <xf numFmtId="0" fontId="103" fillId="0" borderId="30" xfId="0" applyFont="1" applyBorder="1" applyAlignment="1">
      <alignment horizontal="center" vertical="center"/>
    </xf>
    <xf numFmtId="0" fontId="103" fillId="0" borderId="30" xfId="0" applyFont="1" applyBorder="1" applyAlignment="1">
      <alignment horizontal="center" vertical="center" wrapText="1"/>
    </xf>
    <xf numFmtId="0" fontId="103" fillId="0" borderId="31" xfId="0" applyFont="1" applyBorder="1" applyAlignment="1">
      <alignment horizontal="center" vertical="center" wrapText="1"/>
    </xf>
    <xf numFmtId="0" fontId="103" fillId="0" borderId="32" xfId="0" applyFont="1" applyFill="1" applyBorder="1" applyAlignment="1">
      <alignment vertical="center" wrapText="1"/>
    </xf>
    <xf numFmtId="0" fontId="103" fillId="0" borderId="114" xfId="0" applyFont="1" applyFill="1" applyBorder="1" applyAlignment="1">
      <alignment vertical="center" wrapText="1"/>
    </xf>
    <xf numFmtId="0" fontId="103" fillId="0" borderId="110" xfId="0" applyFont="1" applyFill="1" applyBorder="1" applyAlignment="1">
      <alignment vertical="center" wrapText="1"/>
    </xf>
    <xf numFmtId="0" fontId="103" fillId="0" borderId="34" xfId="0" applyFont="1" applyFill="1" applyBorder="1" applyAlignment="1">
      <alignment vertical="center" wrapText="1"/>
    </xf>
    <xf numFmtId="0" fontId="103" fillId="0" borderId="32" xfId="0" applyFont="1" applyBorder="1" applyAlignment="1">
      <alignment vertical="center" wrapText="1"/>
    </xf>
    <xf numFmtId="0" fontId="112" fillId="0" borderId="0" xfId="0" applyFont="1"/>
    <xf numFmtId="0" fontId="103" fillId="0" borderId="110" xfId="0" applyFont="1" applyBorder="1" applyAlignment="1">
      <alignment vertical="center" wrapText="1"/>
    </xf>
    <xf numFmtId="0" fontId="103" fillId="0" borderId="115" xfId="0" applyFont="1" applyBorder="1" applyAlignment="1">
      <alignment vertical="center" wrapText="1"/>
    </xf>
    <xf numFmtId="0" fontId="103" fillId="0" borderId="35" xfId="0" applyFont="1" applyFill="1" applyBorder="1" applyAlignment="1">
      <alignment vertical="center" wrapText="1"/>
    </xf>
    <xf numFmtId="0" fontId="103" fillId="0" borderId="35" xfId="0" applyFont="1" applyBorder="1" applyAlignment="1">
      <alignment vertical="center" wrapText="1"/>
    </xf>
    <xf numFmtId="0" fontId="114" fillId="0" borderId="0" xfId="15" applyFont="1" applyAlignment="1">
      <alignment vertical="top"/>
    </xf>
    <xf numFmtId="0" fontId="115" fillId="0" borderId="0" xfId="15" applyFont="1" applyAlignment="1">
      <alignment vertical="top"/>
    </xf>
    <xf numFmtId="0" fontId="5" fillId="0" borderId="0" xfId="0" applyFont="1" applyAlignment="1" applyProtection="1">
      <alignment horizontal="left" vertical="center"/>
      <protection hidden="1"/>
    </xf>
    <xf numFmtId="0" fontId="36" fillId="0" borderId="0" xfId="0" applyFont="1" applyAlignment="1" applyProtection="1">
      <alignment horizontal="center" vertical="center"/>
      <protection hidden="1"/>
    </xf>
    <xf numFmtId="181" fontId="7" fillId="0" borderId="1" xfId="0" applyNumberFormat="1" applyFont="1" applyFill="1" applyBorder="1" applyAlignment="1" applyProtection="1">
      <alignment horizontal="left"/>
    </xf>
    <xf numFmtId="181" fontId="0" fillId="0" borderId="1" xfId="0" applyNumberFormat="1" applyFill="1" applyBorder="1" applyAlignment="1" applyProtection="1">
      <alignment horizontal="left"/>
    </xf>
    <xf numFmtId="0" fontId="44" fillId="0" borderId="0" xfId="0" applyFont="1" applyAlignment="1">
      <alignment wrapText="1"/>
    </xf>
    <xf numFmtId="0" fontId="0" fillId="0" borderId="0" xfId="0" applyAlignment="1">
      <alignment wrapText="1"/>
    </xf>
    <xf numFmtId="181" fontId="7" fillId="0" borderId="72" xfId="0" applyNumberFormat="1" applyFont="1" applyFill="1" applyBorder="1" applyAlignment="1" applyProtection="1">
      <alignment horizontal="center"/>
    </xf>
    <xf numFmtId="181" fontId="0" fillId="0" borderId="72" xfId="0" applyNumberFormat="1" applyFill="1" applyBorder="1" applyAlignment="1" applyProtection="1">
      <alignment horizontal="center"/>
    </xf>
    <xf numFmtId="0" fontId="6" fillId="0" borderId="0" xfId="0" applyFont="1" applyAlignment="1" applyProtection="1">
      <alignment horizontal="left" vertical="center"/>
      <protection hidden="1"/>
    </xf>
    <xf numFmtId="179" fontId="7" fillId="6" borderId="0" xfId="0" applyNumberFormat="1" applyFont="1" applyFill="1" applyBorder="1" applyAlignment="1" applyProtection="1">
      <alignment horizontal="center"/>
      <protection locked="0"/>
    </xf>
    <xf numFmtId="179" fontId="0" fillId="0" borderId="0" xfId="0" applyNumberFormat="1" applyAlignment="1" applyProtection="1">
      <alignment horizontal="center"/>
      <protection locked="0"/>
    </xf>
    <xf numFmtId="0" fontId="61" fillId="0" borderId="0" xfId="0" applyFont="1" applyBorder="1" applyAlignment="1">
      <alignment vertical="center" wrapText="1"/>
    </xf>
    <xf numFmtId="0" fontId="0" fillId="0" borderId="0" xfId="0" applyFont="1" applyAlignment="1">
      <alignment vertical="center"/>
    </xf>
    <xf numFmtId="0" fontId="11" fillId="6" borderId="0" xfId="0" applyFont="1" applyFill="1" applyBorder="1" applyAlignment="1" applyProtection="1">
      <alignment horizontal="center"/>
      <protection locked="0"/>
    </xf>
    <xf numFmtId="0" fontId="8" fillId="0" borderId="0" xfId="0" applyFont="1" applyAlignment="1">
      <alignment horizontal="left" wrapText="1"/>
    </xf>
    <xf numFmtId="0" fontId="8" fillId="0" borderId="0" xfId="0" applyFont="1" applyAlignment="1">
      <alignment horizontal="left" vertical="center" wrapText="1"/>
    </xf>
    <xf numFmtId="0" fontId="10" fillId="0" borderId="0" xfId="0" applyFont="1" applyAlignment="1">
      <alignment horizontal="left" wrapText="1"/>
    </xf>
    <xf numFmtId="0" fontId="6" fillId="0" borderId="0" xfId="0" applyFont="1" applyAlignment="1" applyProtection="1">
      <alignment horizontal="left" wrapText="1"/>
      <protection hidden="1"/>
    </xf>
    <xf numFmtId="0" fontId="45" fillId="0" borderId="0" xfId="0" applyFont="1" applyAlignment="1" applyProtection="1">
      <alignment vertical="top"/>
      <protection hidden="1"/>
    </xf>
    <xf numFmtId="0" fontId="0" fillId="0" borderId="0" xfId="0" applyAlignment="1"/>
    <xf numFmtId="0" fontId="45" fillId="0" borderId="0" xfId="0" applyFont="1" applyAlignment="1" applyProtection="1">
      <alignment vertical="top" wrapText="1"/>
      <protection hidden="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5" fillId="0" borderId="0" xfId="0" applyFont="1" applyAlignment="1" applyProtection="1">
      <alignment vertical="center" wrapText="1"/>
      <protection hidden="1"/>
    </xf>
    <xf numFmtId="0" fontId="45" fillId="0" borderId="25" xfId="0" applyFont="1" applyBorder="1" applyAlignment="1" applyProtection="1">
      <alignment vertical="center" wrapText="1"/>
      <protection hidden="1"/>
    </xf>
    <xf numFmtId="0" fontId="0" fillId="0" borderId="0" xfId="0" applyAlignment="1" applyProtection="1">
      <alignment vertical="center"/>
    </xf>
    <xf numFmtId="0" fontId="45" fillId="0" borderId="0" xfId="0" applyFont="1" applyAlignment="1" applyProtection="1">
      <alignment horizontal="left" vertical="center" wrapText="1"/>
      <protection hidden="1"/>
    </xf>
    <xf numFmtId="0" fontId="45" fillId="0" borderId="25" xfId="0" applyFont="1" applyBorder="1" applyAlignment="1" applyProtection="1">
      <alignment horizontal="left" vertical="center" wrapText="1"/>
      <protection hidden="1"/>
    </xf>
    <xf numFmtId="0" fontId="0" fillId="0" borderId="17" xfId="0" applyFont="1" applyBorder="1" applyAlignment="1" applyProtection="1">
      <alignment horizontal="center" vertical="top" wrapText="1"/>
      <protection hidden="1"/>
    </xf>
    <xf numFmtId="0" fontId="0" fillId="0" borderId="18" xfId="0" applyFont="1" applyBorder="1" applyAlignment="1" applyProtection="1">
      <alignment horizontal="center" vertical="top" wrapText="1"/>
      <protection hidden="1"/>
    </xf>
    <xf numFmtId="0" fontId="0" fillId="0" borderId="19" xfId="0" applyFont="1" applyBorder="1" applyAlignment="1" applyProtection="1">
      <alignment horizontal="center" vertical="top" wrapText="1"/>
      <protection hidden="1"/>
    </xf>
    <xf numFmtId="0" fontId="44" fillId="6" borderId="36" xfId="0" applyFont="1" applyFill="1" applyBorder="1" applyAlignment="1" applyProtection="1">
      <alignment vertical="top"/>
      <protection locked="0"/>
    </xf>
    <xf numFmtId="0" fontId="44" fillId="6" borderId="37" xfId="0" applyFont="1" applyFill="1" applyBorder="1" applyAlignment="1" applyProtection="1">
      <alignment vertical="top"/>
      <protection locked="0"/>
    </xf>
    <xf numFmtId="0" fontId="44" fillId="6" borderId="38" xfId="0" applyFont="1" applyFill="1" applyBorder="1" applyAlignment="1" applyProtection="1">
      <alignment vertical="top"/>
      <protection locked="0"/>
    </xf>
    <xf numFmtId="0" fontId="44" fillId="6" borderId="39" xfId="0" applyFont="1" applyFill="1" applyBorder="1" applyAlignment="1" applyProtection="1">
      <alignment vertical="top"/>
      <protection locked="0"/>
    </xf>
    <xf numFmtId="0" fontId="44" fillId="6" borderId="40" xfId="0" applyFont="1" applyFill="1" applyBorder="1" applyAlignment="1" applyProtection="1">
      <alignment vertical="top"/>
      <protection locked="0"/>
    </xf>
    <xf numFmtId="0" fontId="44" fillId="6" borderId="41" xfId="0" applyFont="1" applyFill="1" applyBorder="1" applyAlignment="1" applyProtection="1">
      <alignment vertical="top"/>
      <protection locked="0"/>
    </xf>
    <xf numFmtId="0" fontId="45" fillId="0" borderId="25" xfId="0" applyFont="1" applyBorder="1" applyAlignment="1" applyProtection="1">
      <alignment vertical="top" wrapText="1"/>
      <protection hidden="1"/>
    </xf>
    <xf numFmtId="0" fontId="45" fillId="0" borderId="0" xfId="0" applyFont="1" applyAlignment="1" applyProtection="1">
      <alignment vertical="center" wrapText="1"/>
    </xf>
    <xf numFmtId="0" fontId="0" fillId="0" borderId="0" xfId="0" applyAlignment="1">
      <alignment vertical="top"/>
    </xf>
    <xf numFmtId="0" fontId="45" fillId="0" borderId="0" xfId="0" applyFont="1" applyAlignment="1">
      <alignment vertical="center"/>
    </xf>
    <xf numFmtId="0" fontId="0" fillId="0" borderId="0" xfId="0" applyAlignment="1">
      <alignment vertical="center"/>
    </xf>
    <xf numFmtId="0" fontId="64" fillId="0" borderId="0" xfId="0" applyFont="1" applyAlignment="1" applyProtection="1">
      <alignment horizontal="left" vertical="center"/>
      <protection hidden="1"/>
    </xf>
    <xf numFmtId="0" fontId="45" fillId="0" borderId="0" xfId="0" applyFont="1" applyAlignment="1" applyProtection="1">
      <alignment vertical="top" wrapText="1"/>
    </xf>
    <xf numFmtId="0" fontId="45" fillId="0" borderId="0" xfId="0" applyFont="1" applyAlignment="1" applyProtection="1">
      <alignment vertical="top"/>
    </xf>
    <xf numFmtId="0" fontId="45" fillId="0" borderId="0" xfId="0" applyFont="1" applyAlignment="1" applyProtection="1">
      <alignment horizontal="left" vertical="top" wrapText="1"/>
      <protection hidden="1"/>
    </xf>
    <xf numFmtId="0" fontId="47" fillId="0" borderId="0" xfId="0" applyFont="1" applyAlignment="1" applyProtection="1">
      <alignment horizontal="left" vertical="top" wrapText="1"/>
      <protection hidden="1"/>
    </xf>
    <xf numFmtId="1" fontId="45" fillId="0" borderId="0" xfId="7" applyNumberFormat="1" applyFont="1"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xf numFmtId="0" fontId="103" fillId="0" borderId="11" xfId="0" applyFont="1" applyBorder="1" applyAlignment="1">
      <alignment horizontal="center" vertical="center" wrapText="1"/>
    </xf>
    <xf numFmtId="0" fontId="103" fillId="0" borderId="15" xfId="0" applyFont="1" applyBorder="1" applyAlignment="1">
      <alignment horizontal="center" vertical="center" wrapText="1"/>
    </xf>
    <xf numFmtId="0" fontId="103" fillId="0" borderId="74" xfId="0" applyFont="1" applyBorder="1" applyAlignment="1">
      <alignment horizontal="center" vertical="center" wrapText="1"/>
    </xf>
    <xf numFmtId="0" fontId="103" fillId="0" borderId="22" xfId="0" applyFont="1" applyBorder="1" applyAlignment="1">
      <alignment horizontal="center" vertical="center" wrapText="1"/>
    </xf>
    <xf numFmtId="0" fontId="103" fillId="0" borderId="11" xfId="0" applyFont="1" applyFill="1" applyBorder="1" applyAlignment="1">
      <alignment horizontal="left" vertical="center" wrapText="1"/>
    </xf>
    <xf numFmtId="0" fontId="103" fillId="0" borderId="22" xfId="0" applyFont="1" applyFill="1" applyBorder="1" applyAlignment="1">
      <alignment horizontal="left" vertical="center" wrapText="1"/>
    </xf>
    <xf numFmtId="9" fontId="103" fillId="0" borderId="11" xfId="0" applyNumberFormat="1" applyFont="1" applyBorder="1" applyAlignment="1">
      <alignment horizontal="center" vertical="center" wrapText="1"/>
    </xf>
    <xf numFmtId="9" fontId="103" fillId="0" borderId="22" xfId="0" applyNumberFormat="1" applyFont="1" applyBorder="1" applyAlignment="1">
      <alignment horizontal="center" vertical="center" wrapText="1"/>
    </xf>
    <xf numFmtId="9" fontId="103" fillId="0" borderId="15" xfId="0" applyNumberFormat="1" applyFont="1" applyBorder="1" applyAlignment="1">
      <alignment horizontal="center" vertical="center" wrapText="1"/>
    </xf>
    <xf numFmtId="0" fontId="103" fillId="0" borderId="11" xfId="0" applyFont="1" applyBorder="1" applyAlignment="1">
      <alignment horizontal="left" vertical="center" wrapText="1"/>
    </xf>
    <xf numFmtId="0" fontId="103" fillId="0" borderId="15" xfId="0" applyFont="1" applyBorder="1" applyAlignment="1">
      <alignment horizontal="left" vertical="center" wrapText="1"/>
    </xf>
    <xf numFmtId="0" fontId="103" fillId="0" borderId="22" xfId="0" applyFont="1" applyBorder="1" applyAlignment="1">
      <alignment horizontal="left" vertical="center" wrapText="1"/>
    </xf>
    <xf numFmtId="0" fontId="103" fillId="0" borderId="111" xfId="0" applyFont="1" applyFill="1" applyBorder="1" applyAlignment="1">
      <alignment horizontal="left" vertical="center" wrapText="1"/>
    </xf>
    <xf numFmtId="0" fontId="0" fillId="0" borderId="112" xfId="0" applyFont="1" applyBorder="1" applyAlignment="1">
      <alignment horizontal="left" vertical="center" wrapText="1"/>
    </xf>
    <xf numFmtId="0" fontId="0" fillId="0" borderId="113" xfId="0" applyFont="1" applyBorder="1" applyAlignment="1">
      <alignment horizontal="left" vertical="center" wrapText="1"/>
    </xf>
    <xf numFmtId="9" fontId="103" fillId="0" borderId="110" xfId="0" applyNumberFormat="1" applyFont="1" applyBorder="1" applyAlignment="1">
      <alignment horizontal="center" vertical="center" wrapText="1"/>
    </xf>
    <xf numFmtId="0" fontId="0" fillId="0" borderId="15" xfId="0" applyFont="1" applyBorder="1" applyAlignment="1">
      <alignment horizontal="center" vertical="center" wrapText="1"/>
    </xf>
    <xf numFmtId="0" fontId="0" fillId="0" borderId="35" xfId="0" applyFont="1" applyBorder="1" applyAlignment="1">
      <alignment horizontal="center" vertical="center" wrapText="1"/>
    </xf>
    <xf numFmtId="0" fontId="103" fillId="0" borderId="110" xfId="0" applyFont="1" applyBorder="1" applyAlignment="1">
      <alignment vertical="center" wrapText="1"/>
    </xf>
    <xf numFmtId="0" fontId="0" fillId="0" borderId="22" xfId="0" applyFont="1" applyBorder="1" applyAlignment="1">
      <alignment vertical="center" wrapText="1"/>
    </xf>
    <xf numFmtId="0" fontId="11" fillId="0" borderId="0" xfId="0" applyFont="1" applyFill="1" applyBorder="1" applyAlignment="1" applyProtection="1">
      <alignment vertical="center"/>
      <protection locked="0"/>
    </xf>
    <xf numFmtId="0" fontId="11" fillId="0" borderId="0" xfId="0" applyFont="1" applyAlignment="1">
      <alignment vertical="center"/>
    </xf>
    <xf numFmtId="0" fontId="11" fillId="2" borderId="0" xfId="0" applyFont="1" applyFill="1" applyAlignment="1" applyProtection="1">
      <alignment horizontal="center" vertical="center"/>
    </xf>
    <xf numFmtId="4" fontId="8" fillId="6" borderId="72" xfId="0" applyNumberFormat="1" applyFont="1" applyFill="1" applyBorder="1" applyAlignment="1" applyProtection="1">
      <alignment horizontal="center"/>
      <protection locked="0"/>
    </xf>
    <xf numFmtId="0" fontId="11" fillId="2" borderId="0" xfId="0" applyFont="1" applyFill="1" applyAlignment="1">
      <alignment horizontal="center" vertical="center"/>
    </xf>
    <xf numFmtId="180" fontId="8" fillId="6" borderId="72" xfId="0" applyNumberFormat="1" applyFont="1" applyFill="1" applyBorder="1" applyAlignment="1" applyProtection="1">
      <alignment horizontal="center"/>
      <protection locked="0"/>
    </xf>
    <xf numFmtId="0" fontId="0" fillId="0" borderId="72" xfId="0" applyBorder="1" applyAlignment="1">
      <alignment horizontal="center"/>
    </xf>
    <xf numFmtId="0" fontId="11" fillId="0" borderId="0" xfId="0" applyFont="1" applyAlignment="1" applyProtection="1">
      <alignment horizontal="center" vertical="center" wrapText="1"/>
      <protection hidden="1"/>
    </xf>
    <xf numFmtId="4" fontId="8" fillId="6" borderId="1" xfId="0" applyNumberFormat="1" applyFont="1" applyFill="1" applyBorder="1" applyAlignment="1" applyProtection="1">
      <alignment horizontal="center"/>
      <protection locked="0"/>
    </xf>
    <xf numFmtId="0" fontId="8" fillId="0" borderId="1" xfId="0" applyFont="1" applyBorder="1" applyAlignment="1" applyProtection="1">
      <alignment horizontal="center"/>
      <protection locked="0"/>
    </xf>
    <xf numFmtId="0" fontId="11" fillId="6" borderId="71" xfId="0" applyFont="1" applyFill="1" applyBorder="1" applyAlignment="1" applyProtection="1">
      <alignment horizontal="center" vertical="top"/>
      <protection locked="0"/>
    </xf>
    <xf numFmtId="166" fontId="60" fillId="0" borderId="0" xfId="7"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xf>
    <xf numFmtId="0" fontId="8" fillId="0" borderId="0" xfId="0" applyFont="1" applyAlignment="1" applyProtection="1"/>
    <xf numFmtId="0" fontId="8" fillId="0" borderId="0" xfId="0" applyFont="1" applyFill="1" applyBorder="1" applyAlignment="1" applyProtection="1">
      <alignment horizontal="left"/>
      <protection locked="0"/>
    </xf>
    <xf numFmtId="166" fontId="11" fillId="6" borderId="0" xfId="7" applyNumberFormat="1" applyFont="1" applyFill="1" applyBorder="1" applyAlignment="1" applyProtection="1">
      <alignment horizontal="left" vertical="center"/>
      <protection locked="0"/>
    </xf>
    <xf numFmtId="0" fontId="11" fillId="0" borderId="0" xfId="0" applyFont="1" applyAlignment="1">
      <alignment horizontal="center" vertical="center" wrapText="1"/>
    </xf>
    <xf numFmtId="178" fontId="8" fillId="0" borderId="72" xfId="0" applyNumberFormat="1" applyFont="1" applyFill="1" applyBorder="1" applyAlignment="1" applyProtection="1">
      <alignment horizontal="center"/>
    </xf>
    <xf numFmtId="0" fontId="11" fillId="0" borderId="0" xfId="0" applyFont="1" applyAlignment="1" applyProtection="1">
      <alignment horizontal="center" vertical="center"/>
    </xf>
    <xf numFmtId="0" fontId="0" fillId="0" borderId="0" xfId="0" applyAlignment="1">
      <alignment horizontal="center"/>
    </xf>
    <xf numFmtId="0" fontId="11" fillId="0" borderId="0" xfId="0" applyFont="1" applyAlignment="1" applyProtection="1">
      <alignment horizontal="left" vertical="center" wrapText="1" indent="1"/>
      <protection hidden="1"/>
    </xf>
    <xf numFmtId="0" fontId="11" fillId="0" borderId="0" xfId="0" applyFont="1" applyAlignment="1">
      <alignment horizontal="center" vertical="center"/>
    </xf>
    <xf numFmtId="0" fontId="0" fillId="0" borderId="0" xfId="0" applyAlignment="1">
      <alignment horizontal="center" vertical="center"/>
    </xf>
    <xf numFmtId="0" fontId="11" fillId="0" borderId="0" xfId="0" applyFont="1" applyAlignment="1" applyProtection="1">
      <alignment horizontal="center" vertical="center"/>
      <protection hidden="1"/>
    </xf>
    <xf numFmtId="0" fontId="11" fillId="0" borderId="5" xfId="6" quotePrefix="1" applyFont="1" applyBorder="1" applyAlignment="1">
      <alignment horizontal="center" vertical="center"/>
    </xf>
    <xf numFmtId="0" fontId="11" fillId="2" borderId="4" xfId="4" applyFont="1" applyFill="1" applyBorder="1" applyAlignment="1" applyProtection="1">
      <alignment horizontal="left" vertical="center" wrapText="1"/>
      <protection hidden="1"/>
    </xf>
    <xf numFmtId="0" fontId="0" fillId="0" borderId="2" xfId="0" applyBorder="1" applyAlignment="1">
      <alignment vertical="center"/>
    </xf>
    <xf numFmtId="0" fontId="23" fillId="0" borderId="98" xfId="6" quotePrefix="1" applyFont="1" applyBorder="1" applyAlignment="1">
      <alignment horizontal="center" vertical="center"/>
    </xf>
    <xf numFmtId="0" fontId="8" fillId="0" borderId="4" xfId="4" applyFont="1" applyFill="1" applyBorder="1" applyAlignment="1" applyProtection="1">
      <alignment horizontal="left" vertical="center" wrapText="1"/>
    </xf>
    <xf numFmtId="0" fontId="8" fillId="0" borderId="2" xfId="4" applyFont="1" applyFill="1" applyBorder="1" applyAlignment="1" applyProtection="1">
      <alignment horizontal="left" vertical="center" wrapText="1"/>
    </xf>
    <xf numFmtId="0" fontId="11" fillId="6" borderId="4" xfId="4" applyNumberFormat="1" applyFont="1" applyFill="1" applyBorder="1" applyAlignment="1" applyProtection="1">
      <alignment vertical="center" wrapText="1"/>
      <protection locked="0"/>
    </xf>
    <xf numFmtId="0" fontId="8" fillId="6" borderId="93" xfId="0" applyFont="1" applyFill="1" applyBorder="1" applyAlignment="1" applyProtection="1">
      <alignment vertical="center" wrapText="1"/>
      <protection locked="0"/>
    </xf>
    <xf numFmtId="0" fontId="11" fillId="6" borderId="97" xfId="4" applyNumberFormat="1" applyFont="1" applyFill="1" applyBorder="1" applyAlignment="1" applyProtection="1">
      <alignment vertical="center" wrapText="1"/>
      <protection locked="0"/>
    </xf>
    <xf numFmtId="0" fontId="8" fillId="6" borderId="95" xfId="0" applyFont="1" applyFill="1" applyBorder="1" applyAlignment="1" applyProtection="1">
      <alignment vertical="center" wrapText="1"/>
      <protection locked="0"/>
    </xf>
    <xf numFmtId="0" fontId="88" fillId="0" borderId="5" xfId="6" quotePrefix="1" applyFont="1" applyBorder="1" applyAlignment="1">
      <alignment horizontal="center" vertical="center"/>
    </xf>
    <xf numFmtId="166" fontId="66" fillId="0" borderId="0" xfId="7" applyNumberFormat="1" applyFont="1" applyFill="1" applyBorder="1" applyAlignment="1" applyProtection="1">
      <alignment horizontal="left" vertical="center" wrapText="1"/>
    </xf>
    <xf numFmtId="0" fontId="0" fillId="0" borderId="0" xfId="0" applyAlignment="1">
      <alignment horizontal="left" vertical="center"/>
    </xf>
    <xf numFmtId="0" fontId="66" fillId="0" borderId="0" xfId="7" applyFont="1" applyFill="1" applyBorder="1" applyAlignment="1">
      <alignment horizontal="left" vertical="center" wrapText="1"/>
    </xf>
    <xf numFmtId="0" fontId="0" fillId="0" borderId="0" xfId="0" applyAlignment="1">
      <alignment vertical="center" wrapText="1"/>
    </xf>
    <xf numFmtId="166" fontId="14" fillId="0" borderId="0" xfId="7" applyNumberFormat="1" applyFont="1" applyFill="1" applyBorder="1" applyAlignment="1" applyProtection="1">
      <alignment horizontal="left" vertical="center" wrapText="1"/>
    </xf>
    <xf numFmtId="1" fontId="52" fillId="0" borderId="0" xfId="7" applyNumberFormat="1" applyFont="1" applyFill="1" applyBorder="1" applyAlignment="1" applyProtection="1">
      <alignment horizontal="left" wrapText="1"/>
    </xf>
    <xf numFmtId="0" fontId="0" fillId="0" borderId="0" xfId="0" applyFont="1" applyAlignment="1">
      <alignment wrapText="1"/>
    </xf>
    <xf numFmtId="0" fontId="0" fillId="0" borderId="0" xfId="0" applyFont="1" applyAlignment="1"/>
    <xf numFmtId="0" fontId="5" fillId="0" borderId="0" xfId="7" applyFont="1" applyFill="1" applyBorder="1" applyAlignment="1">
      <alignment horizontal="left"/>
    </xf>
    <xf numFmtId="0" fontId="52" fillId="0" borderId="0" xfId="7" applyFont="1" applyFill="1" applyBorder="1" applyAlignment="1">
      <alignment horizontal="left" wrapText="1"/>
    </xf>
    <xf numFmtId="0" fontId="0" fillId="0" borderId="0" xfId="0" applyFont="1" applyAlignment="1">
      <alignment horizontal="left" wrapText="1"/>
    </xf>
    <xf numFmtId="0" fontId="66" fillId="0" borderId="0" xfId="7" applyFont="1" applyFill="1" applyBorder="1" applyAlignment="1">
      <alignment horizontal="left" wrapText="1"/>
    </xf>
    <xf numFmtId="1" fontId="86" fillId="3" borderId="12" xfId="8" applyNumberFormat="1" applyFont="1" applyFill="1" applyBorder="1" applyAlignment="1">
      <alignment horizontal="center"/>
    </xf>
    <xf numFmtId="1" fontId="86" fillId="3" borderId="13" xfId="8" applyNumberFormat="1" applyFont="1" applyFill="1" applyBorder="1" applyAlignment="1">
      <alignment horizontal="center"/>
    </xf>
    <xf numFmtId="1" fontId="86" fillId="3" borderId="14" xfId="8" applyNumberFormat="1" applyFont="1" applyFill="1" applyBorder="1" applyAlignment="1">
      <alignment horizontal="center"/>
    </xf>
    <xf numFmtId="0" fontId="87" fillId="3" borderId="13" xfId="2" applyFont="1" applyFill="1" applyBorder="1" applyAlignment="1"/>
    <xf numFmtId="0" fontId="87" fillId="3" borderId="14" xfId="2" applyFont="1" applyFill="1" applyBorder="1" applyAlignment="1"/>
    <xf numFmtId="1" fontId="36" fillId="10" borderId="17" xfId="2" applyNumberFormat="1" applyFont="1" applyFill="1" applyBorder="1" applyAlignment="1" applyProtection="1">
      <alignment horizontal="center"/>
      <protection locked="0"/>
    </xf>
    <xf numFmtId="0" fontId="87" fillId="10" borderId="18" xfId="2" applyFont="1" applyFill="1" applyBorder="1" applyAlignment="1">
      <alignment horizontal="center"/>
    </xf>
    <xf numFmtId="0" fontId="87" fillId="10" borderId="19" xfId="2" applyFont="1" applyFill="1" applyBorder="1" applyAlignment="1">
      <alignment horizontal="center"/>
    </xf>
    <xf numFmtId="0" fontId="84" fillId="6" borderId="13" xfId="2" applyNumberFormat="1" applyFont="1" applyFill="1" applyBorder="1" applyAlignment="1" applyProtection="1">
      <alignment horizontal="center" vertical="center"/>
      <protection locked="0"/>
    </xf>
    <xf numFmtId="0" fontId="84" fillId="6" borderId="18" xfId="2" applyNumberFormat="1" applyFont="1" applyFill="1" applyBorder="1" applyAlignment="1" applyProtection="1">
      <alignment horizontal="center" vertical="center"/>
      <protection locked="0"/>
    </xf>
    <xf numFmtId="0" fontId="84" fillId="6" borderId="68" xfId="2" applyNumberFormat="1" applyFont="1" applyFill="1" applyBorder="1" applyAlignment="1" applyProtection="1">
      <alignment horizontal="center" vertical="center"/>
      <protection locked="0"/>
    </xf>
    <xf numFmtId="0" fontId="84" fillId="6" borderId="69" xfId="2" applyNumberFormat="1" applyFont="1" applyFill="1" applyBorder="1" applyAlignment="1" applyProtection="1">
      <alignment horizontal="center" vertical="center"/>
      <protection locked="0"/>
    </xf>
    <xf numFmtId="0" fontId="84" fillId="6" borderId="70" xfId="2" applyNumberFormat="1" applyFont="1" applyFill="1" applyBorder="1" applyAlignment="1" applyProtection="1">
      <alignment horizontal="center" vertical="center"/>
      <protection locked="0"/>
    </xf>
    <xf numFmtId="1" fontId="51" fillId="8" borderId="59" xfId="8" applyNumberFormat="1" applyFont="1" applyFill="1" applyBorder="1" applyAlignment="1">
      <alignment horizontal="center"/>
    </xf>
    <xf numFmtId="1" fontId="51" fillId="8" borderId="60" xfId="8" applyNumberFormat="1" applyFont="1" applyFill="1" applyBorder="1" applyAlignment="1">
      <alignment horizontal="center"/>
    </xf>
    <xf numFmtId="0" fontId="45" fillId="8" borderId="60" xfId="0" applyFont="1" applyFill="1" applyBorder="1" applyAlignment="1">
      <alignment horizontal="center"/>
    </xf>
    <xf numFmtId="0" fontId="45" fillId="8" borderId="61" xfId="0" applyFont="1" applyFill="1" applyBorder="1" applyAlignment="1">
      <alignment horizontal="center"/>
    </xf>
    <xf numFmtId="1" fontId="51" fillId="9" borderId="59" xfId="8" applyNumberFormat="1" applyFont="1" applyFill="1" applyBorder="1" applyAlignment="1">
      <alignment horizontal="center"/>
    </xf>
    <xf numFmtId="0" fontId="45" fillId="9" borderId="60" xfId="0" applyFont="1" applyFill="1" applyBorder="1" applyAlignment="1">
      <alignment horizontal="center"/>
    </xf>
    <xf numFmtId="0" fontId="45" fillId="9" borderId="67" xfId="0" applyFont="1" applyFill="1" applyBorder="1" applyAlignment="1">
      <alignment horizontal="center"/>
    </xf>
    <xf numFmtId="0" fontId="0" fillId="0" borderId="61" xfId="0" applyBorder="1" applyAlignment="1">
      <alignment horizontal="center"/>
    </xf>
    <xf numFmtId="0" fontId="0" fillId="0" borderId="60" xfId="0" applyBorder="1" applyAlignment="1">
      <alignment horizontal="center"/>
    </xf>
    <xf numFmtId="0" fontId="75" fillId="0" borderId="0" xfId="9" applyFont="1" applyAlignment="1"/>
    <xf numFmtId="0" fontId="111" fillId="0" borderId="0" xfId="8" applyFont="1" applyBorder="1" applyAlignment="1"/>
    <xf numFmtId="0" fontId="110" fillId="0" borderId="0" xfId="0" applyFont="1" applyBorder="1" applyAlignment="1"/>
    <xf numFmtId="0" fontId="36" fillId="3" borderId="17" xfId="2" applyFont="1" applyFill="1" applyBorder="1" applyAlignment="1" applyProtection="1">
      <alignment horizontal="center" vertical="center" wrapText="1"/>
      <protection hidden="1"/>
    </xf>
    <xf numFmtId="0" fontId="96" fillId="3" borderId="18" xfId="2" applyFont="1" applyFill="1" applyBorder="1" applyAlignment="1">
      <alignment horizontal="center"/>
    </xf>
    <xf numFmtId="0" fontId="96" fillId="3" borderId="19" xfId="2" applyFont="1" applyFill="1" applyBorder="1" applyAlignment="1">
      <alignment horizontal="center"/>
    </xf>
    <xf numFmtId="0" fontId="109" fillId="0" borderId="0" xfId="15" applyFont="1" applyAlignment="1">
      <alignment wrapText="1"/>
    </xf>
    <xf numFmtId="0" fontId="1" fillId="0" borderId="0" xfId="15" applyAlignment="1">
      <alignment wrapText="1"/>
    </xf>
    <xf numFmtId="0" fontId="105" fillId="0" borderId="0" xfId="15" applyFont="1" applyAlignment="1">
      <alignment horizontal="left" vertical="center" wrapText="1"/>
    </xf>
    <xf numFmtId="0" fontId="107" fillId="0" borderId="0" xfId="15" applyFont="1" applyAlignment="1">
      <alignment horizontal="left" vertical="center" wrapText="1"/>
    </xf>
    <xf numFmtId="166" fontId="38" fillId="0" borderId="0" xfId="7" applyNumberFormat="1" applyFont="1" applyFill="1" applyBorder="1" applyAlignment="1" applyProtection="1">
      <alignment horizontal="center" vertical="top"/>
    </xf>
    <xf numFmtId="0" fontId="0" fillId="0" borderId="0" xfId="0" applyBorder="1" applyAlignment="1" applyProtection="1"/>
    <xf numFmtId="49" fontId="22" fillId="6"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49" fontId="8" fillId="6" borderId="0" xfId="0" applyNumberFormat="1" applyFont="1" applyFill="1" applyBorder="1" applyAlignment="1" applyProtection="1">
      <alignment horizontal="center" vertical="center"/>
      <protection locked="0"/>
    </xf>
    <xf numFmtId="1" fontId="13" fillId="0" borderId="0" xfId="7" applyNumberFormat="1" applyFont="1" applyFill="1" applyBorder="1" applyAlignment="1" applyProtection="1">
      <alignment vertical="center"/>
    </xf>
    <xf numFmtId="0" fontId="13" fillId="0" borderId="0" xfId="0" applyFont="1" applyAlignment="1" applyProtection="1">
      <alignment vertical="center"/>
    </xf>
    <xf numFmtId="1" fontId="61" fillId="0" borderId="0" xfId="7" applyNumberFormat="1" applyFont="1" applyFill="1" applyBorder="1" applyAlignment="1" applyProtection="1">
      <alignment horizontal="left" vertical="center" wrapText="1"/>
    </xf>
    <xf numFmtId="0" fontId="45" fillId="0" borderId="0" xfId="0" applyFont="1" applyAlignment="1" applyProtection="1">
      <alignment horizontal="left" vertical="center" wrapText="1"/>
    </xf>
    <xf numFmtId="166" fontId="61" fillId="6" borderId="0" xfId="7" applyNumberFormat="1" applyFont="1" applyFill="1" applyBorder="1" applyAlignment="1" applyProtection="1">
      <alignment horizontal="center" vertical="center"/>
      <protection locked="0"/>
    </xf>
    <xf numFmtId="0" fontId="0" fillId="6" borderId="0" xfId="0" applyFill="1" applyAlignment="1" applyProtection="1">
      <protection locked="0"/>
    </xf>
  </cellXfs>
  <cellStyles count="17">
    <cellStyle name="Komma" xfId="1" builtinId="3"/>
    <cellStyle name="Prozent" xfId="11" builtinId="5"/>
    <cellStyle name="Prozent 2" xfId="10"/>
    <cellStyle name="Standard" xfId="0" builtinId="0"/>
    <cellStyle name="Standard 2" xfId="2"/>
    <cellStyle name="Standard 2 2" xfId="8"/>
    <cellStyle name="Standard 3" xfId="3"/>
    <cellStyle name="Standard 3 2" xfId="9"/>
    <cellStyle name="Standard 3 3" xfId="14"/>
    <cellStyle name="Standard 4" xfId="15"/>
    <cellStyle name="Standard_04 Finanzplan bereinigte Gesamtausgaben 07" xfId="4"/>
    <cellStyle name="Standard_Finanzplan bereinigte Gesamtausgaben 08" xfId="5"/>
    <cellStyle name="Standard_Fplan bereinigte Gesamtausgaben" xfId="6"/>
    <cellStyle name="Standard_K_AUFGEM" xfId="13"/>
    <cellStyle name="Standard_Kassenkreditrahmen" xfId="16"/>
    <cellStyle name="Standard_Tabelle1" xfId="7"/>
    <cellStyle name="Währung" xfId="12" builtinId="4"/>
  </cellStyles>
  <dxfs count="69">
    <dxf>
      <fill>
        <patternFill>
          <bgColor theme="9" tint="0.59996337778862885"/>
        </patternFill>
      </fill>
    </dxf>
    <dxf>
      <fill>
        <patternFill>
          <bgColor rgb="FF66CCFF"/>
        </patternFill>
      </fill>
    </dxf>
    <dxf>
      <fill>
        <patternFill>
          <bgColor theme="9" tint="0.59996337778862885"/>
        </patternFill>
      </fill>
    </dxf>
    <dxf>
      <fill>
        <patternFill>
          <bgColor rgb="FF66CCFF"/>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auto="1"/>
      </font>
      <fill>
        <patternFill>
          <bgColor rgb="FFFFFF00"/>
        </patternFill>
      </fill>
    </dxf>
    <dxf>
      <font>
        <color theme="0"/>
      </font>
      <fill>
        <patternFill>
          <bgColor rgb="FFFF0000"/>
        </patternFill>
      </fill>
    </dxf>
    <dxf>
      <fill>
        <patternFill patternType="none">
          <bgColor auto="1"/>
        </patternFill>
      </fill>
      <border>
        <left style="dotted">
          <color auto="1"/>
        </left>
        <right style="dotted">
          <color auto="1"/>
        </right>
        <top style="dotted">
          <color auto="1"/>
        </top>
        <bottom style="dotted">
          <color auto="1"/>
        </bottom>
      </border>
    </dxf>
    <dxf>
      <fill>
        <patternFill patternType="none">
          <bgColor auto="1"/>
        </patternFill>
      </fill>
      <border>
        <left style="dotted">
          <color auto="1"/>
        </left>
        <right style="dotted">
          <color auto="1"/>
        </right>
        <top style="dotted">
          <color auto="1"/>
        </top>
        <bottom style="dotted">
          <color auto="1"/>
        </bottom>
      </border>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ill>
        <patternFill>
          <bgColor theme="9" tint="-0.24994659260841701"/>
        </patternFill>
      </fill>
    </dxf>
    <dxf>
      <font>
        <condense val="0"/>
        <extend val="0"/>
        <color rgb="FF9C0006"/>
      </font>
      <fill>
        <patternFill>
          <bgColor rgb="FFFFC7CE"/>
        </patternFill>
      </fill>
    </dxf>
    <dxf>
      <fill>
        <patternFill>
          <bgColor indexed="41"/>
        </patternFill>
      </fill>
    </dxf>
    <dxf>
      <fill>
        <patternFill>
          <bgColor indexed="41"/>
        </patternFill>
      </fill>
    </dxf>
    <dxf>
      <fill>
        <patternFill>
          <bgColor rgb="FFCCFFFF"/>
        </patternFill>
      </fill>
    </dxf>
    <dxf>
      <fill>
        <patternFill>
          <bgColor rgb="FFCCFFFF"/>
        </patternFill>
      </fill>
    </dxf>
    <dxf>
      <fill>
        <patternFill>
          <bgColor rgb="FFCCFFFF"/>
        </patternFill>
      </fill>
    </dxf>
    <dxf>
      <fill>
        <patternFill>
          <bgColor indexed="41"/>
        </patternFill>
      </fill>
    </dxf>
    <dxf>
      <fill>
        <patternFill>
          <bgColor rgb="FFCCFFFF"/>
        </patternFill>
      </fill>
    </dxf>
    <dxf>
      <fill>
        <patternFill patternType="none">
          <bgColor auto="1"/>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indexed="41"/>
        </patternFill>
      </fill>
    </dxf>
    <dxf>
      <fill>
        <patternFill>
          <bgColor theme="0"/>
        </patternFill>
      </fill>
      <border>
        <bottom/>
      </border>
    </dxf>
    <dxf>
      <fill>
        <patternFill>
          <bgColor theme="0"/>
        </patternFill>
      </fill>
      <border>
        <bottom/>
      </border>
    </dxf>
    <dxf>
      <fill>
        <patternFill>
          <bgColor theme="0"/>
        </patternFill>
      </fill>
      <border>
        <bottom/>
      </border>
    </dxf>
    <dxf>
      <fill>
        <patternFill>
          <bgColor rgb="FF33CCFF"/>
        </patternFill>
      </fill>
    </dxf>
    <dxf>
      <fill>
        <patternFill>
          <bgColor theme="9" tint="0.39994506668294322"/>
        </patternFill>
      </fill>
    </dxf>
    <dxf>
      <fill>
        <patternFill>
          <bgColor rgb="FF33CCFF"/>
        </patternFill>
      </fill>
    </dxf>
    <dxf>
      <fill>
        <patternFill>
          <bgColor theme="9" tint="0.39994506668294322"/>
        </patternFill>
      </fill>
    </dxf>
    <dxf>
      <fill>
        <patternFill>
          <bgColor rgb="FF33CCFF"/>
        </patternFill>
      </fill>
    </dxf>
    <dxf>
      <fill>
        <patternFill>
          <bgColor theme="9" tint="0.39994506668294322"/>
        </patternFill>
      </fill>
    </dxf>
    <dxf>
      <fill>
        <patternFill>
          <bgColor rgb="FF33CCFF"/>
        </patternFill>
      </fill>
    </dxf>
    <dxf>
      <fill>
        <patternFill>
          <bgColor theme="9" tint="0.39994506668294322"/>
        </patternFill>
      </fill>
    </dxf>
    <dxf>
      <fill>
        <patternFill>
          <bgColor theme="9" tint="0.59996337778862885"/>
        </patternFill>
      </fill>
    </dxf>
    <dxf>
      <fill>
        <patternFill>
          <bgColor rgb="FF66CCFF"/>
        </patternFill>
      </fill>
    </dxf>
    <dxf>
      <fill>
        <patternFill>
          <bgColor theme="9" tint="0.59996337778862885"/>
        </patternFill>
      </fill>
    </dxf>
    <dxf>
      <fill>
        <patternFill>
          <bgColor rgb="FF66CCFF"/>
        </patternFill>
      </fill>
    </dxf>
    <dxf>
      <fill>
        <patternFill>
          <bgColor theme="9" tint="0.59996337778862885"/>
        </patternFill>
      </fill>
    </dxf>
    <dxf>
      <fill>
        <patternFill>
          <bgColor rgb="FF66CCFF"/>
        </patternFill>
      </fill>
    </dxf>
    <dxf>
      <fill>
        <patternFill>
          <bgColor theme="9" tint="0.59996337778862885"/>
        </patternFill>
      </fill>
    </dxf>
    <dxf>
      <fill>
        <patternFill>
          <bgColor rgb="FFCCFFFF"/>
        </patternFill>
      </fill>
    </dxf>
    <dxf>
      <font>
        <color rgb="FFFF0000"/>
      </font>
      <fill>
        <patternFill>
          <bgColor rgb="FFCCFFFF"/>
        </patternFill>
      </fill>
    </dxf>
    <dxf>
      <font>
        <color rgb="FFFF0000"/>
      </font>
      <fill>
        <patternFill>
          <bgColor rgb="FFCCFFFF"/>
        </patternFill>
      </fill>
    </dxf>
    <dxf>
      <font>
        <color rgb="FFFF0000"/>
      </font>
      <fill>
        <patternFill>
          <bgColor rgb="FFCCFFFF"/>
        </patternFill>
      </fill>
    </dxf>
    <dxf>
      <font>
        <color rgb="FFFF0000"/>
      </font>
      <fill>
        <patternFill>
          <bgColor rgb="FFCCFFFF"/>
        </patternFill>
      </fill>
    </dxf>
    <dxf>
      <fill>
        <patternFill>
          <bgColor indexed="41"/>
        </patternFill>
      </fill>
    </dxf>
    <dxf>
      <fill>
        <patternFill>
          <bgColor rgb="FFFF0000"/>
        </patternFill>
      </fill>
    </dxf>
    <dxf>
      <fill>
        <patternFill>
          <bgColor rgb="FFCCFFFF"/>
        </patternFill>
      </fill>
    </dxf>
    <dxf>
      <numFmt numFmtId="0" formatCode="General"/>
      <fill>
        <patternFill>
          <bgColor theme="1"/>
        </patternFill>
      </fill>
    </dxf>
    <dxf>
      <fill>
        <patternFill>
          <bgColor theme="0"/>
        </patternFill>
      </fill>
    </dxf>
    <dxf>
      <fill>
        <patternFill>
          <bgColor rgb="FFFF0000"/>
        </patternFill>
      </fill>
    </dxf>
    <dxf>
      <fill>
        <patternFill>
          <bgColor rgb="FFCCFFFF"/>
        </patternFill>
      </fill>
    </dxf>
    <dxf>
      <numFmt numFmtId="0" formatCode="General"/>
      <fill>
        <patternFill>
          <bgColor theme="1"/>
        </patternFill>
      </fill>
    </dxf>
    <dxf>
      <fill>
        <patternFill>
          <bgColor theme="0"/>
        </patternFill>
      </fill>
    </dxf>
    <dxf>
      <fill>
        <patternFill>
          <bgColor theme="0"/>
        </patternFill>
      </fill>
    </dxf>
    <dxf>
      <fill>
        <patternFill>
          <bgColor rgb="FFFF0000"/>
        </patternFill>
      </fill>
    </dxf>
    <dxf>
      <fill>
        <patternFill>
          <bgColor theme="9" tint="0.39994506668294322"/>
        </patternFill>
      </fill>
    </dxf>
    <dxf>
      <fill>
        <patternFill>
          <bgColor rgb="FF66CCFF"/>
        </patternFill>
      </fill>
    </dxf>
    <dxf>
      <fill>
        <patternFill>
          <bgColor indexed="41"/>
        </patternFill>
      </fill>
    </dxf>
  </dxfs>
  <tableStyles count="0" defaultTableStyle="TableStyleMedium9" defaultPivotStyle="PivotStyleLight16"/>
  <colors>
    <mruColors>
      <color rgb="FFB9F2FD"/>
      <color rgb="FFCCFFFF"/>
      <color rgb="FFCCECFF"/>
      <color rgb="FFCCFFCC"/>
      <color rgb="FF66FFFF"/>
      <color rgb="FF66CCFF"/>
      <color rgb="FF99FFCC"/>
      <color rgb="FF33CCFF"/>
      <color rgb="FFDDDDDD"/>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381000</xdr:colOff>
      <xdr:row>0</xdr:row>
      <xdr:rowOff>114299</xdr:rowOff>
    </xdr:from>
    <xdr:to>
      <xdr:col>19</xdr:col>
      <xdr:colOff>47625</xdr:colOff>
      <xdr:row>29</xdr:row>
      <xdr:rowOff>85724</xdr:rowOff>
    </xdr:to>
    <xdr:sp macro="" textlink="">
      <xdr:nvSpPr>
        <xdr:cNvPr id="4" name="Textfeld 1">
          <a:extLst>
            <a:ext uri="{FF2B5EF4-FFF2-40B4-BE49-F238E27FC236}">
              <a16:creationId xmlns:a16="http://schemas.microsoft.com/office/drawing/2014/main" id="{00000000-0008-0000-0100-000004000000}"/>
            </a:ext>
          </a:extLst>
        </xdr:cNvPr>
        <xdr:cNvSpPr txBox="1"/>
      </xdr:nvSpPr>
      <xdr:spPr>
        <a:xfrm>
          <a:off x="6581775" y="114299"/>
          <a:ext cx="7210425" cy="5133975"/>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spcAft>
              <a:spcPts val="0"/>
            </a:spcAft>
          </a:pPr>
          <a:r>
            <a:rPr lang="de-DE" sz="2000" b="1">
              <a:solidFill>
                <a:srgbClr val="000000"/>
              </a:solidFill>
              <a:effectLst/>
              <a:ea typeface="Times New Roman"/>
              <a:cs typeface="Times New Roman"/>
            </a:rPr>
            <a:t>Im Finanzstatusbericht sind Eintragungen nur in den blau unterlegten Feldern vorzunehmen. </a:t>
          </a:r>
          <a:endParaRPr lang="de-DE" sz="1200">
            <a:effectLst/>
            <a:latin typeface="Times New Roman"/>
            <a:ea typeface="Times New Roman"/>
          </a:endParaRPr>
        </a:p>
        <a:p>
          <a:pPr>
            <a:spcAft>
              <a:spcPts val="0"/>
            </a:spcAft>
          </a:pPr>
          <a:r>
            <a:rPr lang="de-DE" sz="2000" b="1">
              <a:solidFill>
                <a:srgbClr val="000000"/>
              </a:solidFill>
              <a:effectLst/>
              <a:ea typeface="Times New Roman"/>
              <a:cs typeface="Times New Roman"/>
            </a:rPr>
            <a:t> </a:t>
          </a:r>
          <a:endParaRPr lang="de-DE" sz="1200">
            <a:effectLst/>
            <a:latin typeface="Times New Roman"/>
            <a:ea typeface="Times New Roman"/>
          </a:endParaRPr>
        </a:p>
        <a:p>
          <a:pPr>
            <a:spcAft>
              <a:spcPts val="0"/>
            </a:spcAft>
          </a:pPr>
          <a:r>
            <a:rPr lang="de-DE" sz="2000" b="1">
              <a:solidFill>
                <a:srgbClr val="000000"/>
              </a:solidFill>
              <a:effectLst/>
              <a:ea typeface="Times New Roman"/>
              <a:cs typeface="Times New Roman"/>
            </a:rPr>
            <a:t>Einige Feldinhalte werden erst vollständig angezeigt, wenn im Deckblatt eine Eintragung im Feld „Haushaltsjahr“ erfolgte.</a:t>
          </a:r>
          <a:endParaRPr lang="de-DE" sz="1200">
            <a:effectLst/>
            <a:latin typeface="Times New Roman"/>
            <a:ea typeface="Times New Roman"/>
          </a:endParaRPr>
        </a:p>
        <a:p>
          <a:pPr>
            <a:spcAft>
              <a:spcPts val="0"/>
            </a:spcAft>
          </a:pPr>
          <a:r>
            <a:rPr lang="de-DE" sz="1200">
              <a:effectLst/>
              <a:latin typeface="Times New Roman"/>
              <a:ea typeface="Times New Roman"/>
            </a:rPr>
            <a:t> </a:t>
          </a:r>
        </a:p>
        <a:p>
          <a:pPr>
            <a:spcAft>
              <a:spcPts val="0"/>
            </a:spcAft>
          </a:pPr>
          <a:r>
            <a:rPr lang="de-DE" sz="2000" b="1">
              <a:solidFill>
                <a:srgbClr val="000000"/>
              </a:solidFill>
              <a:effectLst/>
              <a:ea typeface="Times New Roman"/>
              <a:cs typeface="Times New Roman"/>
            </a:rPr>
            <a:t>Soweit in den Feldern betragsmäßige Angaben erforderlich sind, sind diese im gesamten Finanzstatusbericht in € vorzunehmen. </a:t>
          </a:r>
          <a:endParaRPr lang="de-DE" sz="1200">
            <a:effectLst/>
            <a:latin typeface="Times New Roman"/>
            <a:ea typeface="Times New Roman"/>
          </a:endParaRPr>
        </a:p>
        <a:p>
          <a:pPr>
            <a:spcAft>
              <a:spcPts val="0"/>
            </a:spcAft>
          </a:pPr>
          <a:r>
            <a:rPr lang="de-DE" sz="1200">
              <a:effectLst/>
              <a:latin typeface="Times New Roman"/>
              <a:ea typeface="Times New Roman"/>
            </a:rPr>
            <a:t> </a:t>
          </a:r>
        </a:p>
        <a:p>
          <a:pPr>
            <a:spcAft>
              <a:spcPts val="0"/>
            </a:spcAft>
          </a:pPr>
          <a:r>
            <a:rPr lang="de-DE" sz="2000" b="1">
              <a:solidFill>
                <a:srgbClr val="FFFF00"/>
              </a:solidFill>
              <a:effectLst/>
              <a:ea typeface="Times New Roman"/>
              <a:cs typeface="Times New Roman"/>
            </a:rPr>
            <a:t>Die betragsmäßigen Eingaben sind im Finanzstatusbericht grundsätzlich nur mit positivem Vorzeichen vorzunehmen, soweit nicht aufgrund eines negativen Planwertes bzw. Rechnungsergebnisses ausnahmsweise ein negatives Vorzeichen erforderlich ist</a:t>
          </a:r>
          <a:r>
            <a:rPr lang="de-DE" sz="2000" b="0">
              <a:solidFill>
                <a:srgbClr val="FFFF00"/>
              </a:solidFill>
              <a:effectLst/>
              <a:ea typeface="Times New Roman"/>
              <a:cs typeface="Times New Roman"/>
            </a:rPr>
            <a:t>.</a:t>
          </a:r>
          <a:endParaRPr lang="de-DE" sz="1200" b="0">
            <a:solidFill>
              <a:srgbClr val="FFFF00"/>
            </a:solidFill>
            <a:effectLst/>
            <a:latin typeface="Times New Roman"/>
            <a:ea typeface="Times New Roman"/>
          </a:endParaRPr>
        </a:p>
        <a:p>
          <a:pPr>
            <a:spcAft>
              <a:spcPts val="0"/>
            </a:spcAft>
          </a:pPr>
          <a:r>
            <a:rPr lang="de-DE" sz="1200">
              <a:effectLst/>
              <a:latin typeface="Times New Roman"/>
              <a:ea typeface="Times New Roman"/>
            </a:rPr>
            <a:t> </a:t>
          </a:r>
        </a:p>
        <a:p>
          <a:pPr>
            <a:spcAft>
              <a:spcPts val="0"/>
            </a:spcAft>
          </a:pPr>
          <a:r>
            <a:rPr lang="de-DE" sz="2000" b="1">
              <a:solidFill>
                <a:srgbClr val="000000"/>
              </a:solidFill>
              <a:effectLst/>
              <a:ea typeface="Times New Roman"/>
              <a:cs typeface="Times New Roman"/>
            </a:rPr>
            <a:t>In Haushaltsjahren mit Nachträgen sind Planwerte auf Basis des Nachtragsplanes anzugeben</a:t>
          </a:r>
          <a:endParaRPr lang="de-DE"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xdr:colOff>
      <xdr:row>29</xdr:row>
      <xdr:rowOff>590550</xdr:rowOff>
    </xdr:from>
    <xdr:to>
      <xdr:col>12</xdr:col>
      <xdr:colOff>525859</xdr:colOff>
      <xdr:row>41</xdr:row>
      <xdr:rowOff>56695</xdr:rowOff>
    </xdr:to>
    <xdr:sp macro="" textlink="">
      <xdr:nvSpPr>
        <xdr:cNvPr id="20481" name="Object 1" hidden="1">
          <a:extLst>
            <a:ext uri="{63B3BB69-23CF-44E3-9099-C40C66FF867C}">
              <a14:compatExt xmlns:a14="http://schemas.microsoft.com/office/drawing/2010/main" spid="_x0000_s20481"/>
            </a:ext>
            <a:ext uri="{FF2B5EF4-FFF2-40B4-BE49-F238E27FC236}">
              <a16:creationId xmlns:a16="http://schemas.microsoft.com/office/drawing/2014/main" id="{00000000-0008-0000-0300-000001500000}"/>
            </a:ext>
          </a:extLst>
        </xdr:cNvPr>
        <xdr:cNvSpPr/>
      </xdr:nvSpPr>
      <xdr:spPr>
        <a:xfrm>
          <a:off x="0" y="0"/>
          <a:ext cx="0" cy="0"/>
        </a:xfrm>
        <a:prstGeom prst="rect">
          <a:avLst/>
        </a:prstGeom>
      </xdr:spPr>
    </xdr:sp>
    <xdr:clientData fLocksWithSheet="0"/>
  </xdr:twoCellAnchor>
  <xdr:twoCellAnchor>
    <xdr:from>
      <xdr:col>8</xdr:col>
      <xdr:colOff>0</xdr:colOff>
      <xdr:row>30</xdr:row>
      <xdr:rowOff>0</xdr:rowOff>
    </xdr:from>
    <xdr:to>
      <xdr:col>13</xdr:col>
      <xdr:colOff>549484</xdr:colOff>
      <xdr:row>45</xdr:row>
      <xdr:rowOff>165513</xdr:rowOff>
    </xdr:to>
    <xdr:sp macro="" textlink="" fLocksText="0">
      <xdr:nvSpPr>
        <xdr:cNvPr id="3" name="Textfeld 2">
          <a:extLst>
            <a:ext uri="{FF2B5EF4-FFF2-40B4-BE49-F238E27FC236}">
              <a16:creationId xmlns:a16="http://schemas.microsoft.com/office/drawing/2014/main" id="{00000000-0008-0000-0300-000002000000}"/>
            </a:ext>
          </a:extLst>
        </xdr:cNvPr>
        <xdr:cNvSpPr txBox="1"/>
      </xdr:nvSpPr>
      <xdr:spPr>
        <a:xfrm>
          <a:off x="11280321" y="12069536"/>
          <a:ext cx="7570770" cy="33767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57150</xdr:colOff>
      <xdr:row>27</xdr:row>
      <xdr:rowOff>590550</xdr:rowOff>
    </xdr:from>
    <xdr:to>
      <xdr:col>12</xdr:col>
      <xdr:colOff>525859</xdr:colOff>
      <xdr:row>41</xdr:row>
      <xdr:rowOff>47624</xdr:rowOff>
    </xdr:to>
    <xdr:sp macro="" textlink="">
      <xdr:nvSpPr>
        <xdr:cNvPr id="2" name="Object 1" hidden="1">
          <a:extLst>
            <a:ext uri="{63B3BB69-23CF-44E3-9099-C40C66FF867C}">
              <a14:compatExt xmlns:a14="http://schemas.microsoft.com/office/drawing/2010/main" spid="_x0000_s20481"/>
            </a:ext>
            <a:ext uri="{FF2B5EF4-FFF2-40B4-BE49-F238E27FC236}">
              <a16:creationId xmlns:a16="http://schemas.microsoft.com/office/drawing/2014/main" id="{00000000-0008-0000-0300-000001500000}"/>
            </a:ext>
          </a:extLst>
        </xdr:cNvPr>
        <xdr:cNvSpPr/>
      </xdr:nvSpPr>
      <xdr:spPr>
        <a:xfrm>
          <a:off x="10839450" y="12011025"/>
          <a:ext cx="6631384" cy="2533649"/>
        </a:xfrm>
        <a:prstGeom prst="rect">
          <a:avLst/>
        </a:prstGeom>
      </xdr:spPr>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409575</xdr:colOff>
      <xdr:row>31</xdr:row>
      <xdr:rowOff>9524</xdr:rowOff>
    </xdr:from>
    <xdr:to>
      <xdr:col>12</xdr:col>
      <xdr:colOff>1085850</xdr:colOff>
      <xdr:row>35</xdr:row>
      <xdr:rowOff>78828</xdr:rowOff>
    </xdr:to>
    <xdr:sp macro="" textlink="">
      <xdr:nvSpPr>
        <xdr:cNvPr id="15403" name="Object 43" hidden="1">
          <a:extLst>
            <a:ext uri="{63B3BB69-23CF-44E3-9099-C40C66FF867C}">
              <a14:compatExt xmlns:a14="http://schemas.microsoft.com/office/drawing/2010/main" spid="_x0000_s15403"/>
            </a:ext>
            <a:ext uri="{FF2B5EF4-FFF2-40B4-BE49-F238E27FC236}">
              <a16:creationId xmlns:a16="http://schemas.microsoft.com/office/drawing/2014/main" id="{00000000-0008-0000-0500-00002B3C0000}"/>
            </a:ext>
          </a:extLst>
        </xdr:cNvPr>
        <xdr:cNvSpPr/>
      </xdr:nvSpPr>
      <xdr:spPr>
        <a:xfrm>
          <a:off x="0" y="0"/>
          <a:ext cx="0" cy="0"/>
        </a:xfrm>
        <a:prstGeom prst="rect">
          <a:avLst/>
        </a:prstGeom>
      </xdr:spPr>
    </xdr:sp>
    <xdr:clientData fLocksWithSheet="0"/>
  </xdr:twoCellAnchor>
  <xdr:twoCellAnchor>
    <xdr:from>
      <xdr:col>3</xdr:col>
      <xdr:colOff>438150</xdr:colOff>
      <xdr:row>31</xdr:row>
      <xdr:rowOff>0</xdr:rowOff>
    </xdr:from>
    <xdr:to>
      <xdr:col>12</xdr:col>
      <xdr:colOff>1104900</xdr:colOff>
      <xdr:row>35</xdr:row>
      <xdr:rowOff>180974</xdr:rowOff>
    </xdr:to>
    <xdr:sp macro="" textlink="">
      <xdr:nvSpPr>
        <xdr:cNvPr id="3" name="Textfeld 2">
          <a:extLst>
            <a:ext uri="{FF2B5EF4-FFF2-40B4-BE49-F238E27FC236}">
              <a16:creationId xmlns:a16="http://schemas.microsoft.com/office/drawing/2014/main" id="{00000000-0008-0000-0500-000002000000}"/>
            </a:ext>
          </a:extLst>
        </xdr:cNvPr>
        <xdr:cNvSpPr txBox="1"/>
      </xdr:nvSpPr>
      <xdr:spPr>
        <a:xfrm>
          <a:off x="2047875" y="6600825"/>
          <a:ext cx="7391400" cy="88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247649</xdr:colOff>
      <xdr:row>26</xdr:row>
      <xdr:rowOff>9524</xdr:rowOff>
    </xdr:from>
    <xdr:to>
      <xdr:col>2</xdr:col>
      <xdr:colOff>0</xdr:colOff>
      <xdr:row>36</xdr:row>
      <xdr:rowOff>484909</xdr:rowOff>
    </xdr:to>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247649" y="13517706"/>
          <a:ext cx="4307033" cy="5670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solidFill>
                <a:schemeClr val="dk1"/>
              </a:solidFill>
              <a:effectLst/>
              <a:latin typeface="+mn-lt"/>
              <a:ea typeface="+mn-ea"/>
              <a:cs typeface="+mn-cs"/>
            </a:rPr>
            <a:t>Anmerkungen: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Bei  den ordentlichen Erträgen und ordentlichen Aufwendungen sind die Finanzerträge bzw. Zinsen und anderen Finanzaufwendungen zu berücksichtigen. </a:t>
          </a:r>
          <a:endParaRPr lang="de-DE" sz="1400">
            <a:solidFill>
              <a:schemeClr val="dk1"/>
            </a:solidFill>
            <a:effectLst/>
            <a:latin typeface="+mn-lt"/>
            <a:ea typeface="+mn-ea"/>
            <a:cs typeface="+mn-cs"/>
          </a:endParaRPr>
        </a:p>
        <a:p>
          <a:r>
            <a:rPr lang="de-DE" sz="1400" b="1">
              <a:solidFill>
                <a:sysClr val="windowText" lastClr="000000"/>
              </a:solidFill>
              <a:effectLst/>
              <a:latin typeface="+mn-lt"/>
              <a:ea typeface="+mn-ea"/>
              <a:cs typeface="+mn-cs"/>
            </a:rPr>
            <a:t>Für die ordentlichen Erträge und ordentlichen Aufwendungen sind jeweils die absoluten Beträge vor internen Leistungsverrechnungen (Spalten "absolut vor ILV") und nach internen Leistungsverrechnungen (Spalten "absolut nach ILV") anzugeben</a:t>
          </a:r>
          <a:r>
            <a:rPr lang="de-DE" sz="1400" b="1">
              <a:solidFill>
                <a:srgbClr val="FF0000"/>
              </a:solidFill>
              <a:effectLst/>
              <a:latin typeface="+mn-lt"/>
              <a:ea typeface="+mn-ea"/>
              <a:cs typeface="+mn-cs"/>
            </a:rPr>
            <a:t>. </a:t>
          </a:r>
          <a:endParaRPr lang="de-DE" sz="1400">
            <a:solidFill>
              <a:srgbClr val="FF0000"/>
            </a:solidFill>
            <a:effectLst/>
            <a:latin typeface="+mn-lt"/>
            <a:ea typeface="+mn-ea"/>
            <a:cs typeface="+mn-cs"/>
          </a:endParaRPr>
        </a:p>
        <a:p>
          <a:r>
            <a:rPr lang="de-DE" sz="1400" b="1">
              <a:solidFill>
                <a:schemeClr val="dk1"/>
              </a:solidFill>
              <a:effectLst/>
              <a:latin typeface="+mn-lt"/>
              <a:ea typeface="+mn-ea"/>
              <a:cs typeface="+mn-cs"/>
            </a:rPr>
            <a:t>Bei den Eingaben im Feld "Status" ist Folgendes zu beachten: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Wenn es sich um reine Planzahlen handelt, ist der Status auf Haushaltsansatz zu setzen.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Wenn Ist-Daten zum 31.12. des Haushaltsjahres vorliegen, ist der Status "Ist 31.12." zu wählen. Diese Auswahl ist auch dann vorzunehmen,</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wenn die </a:t>
          </a:r>
          <a:r>
            <a:rPr lang="de-DE" sz="1800" b="1">
              <a:solidFill>
                <a:schemeClr val="dk1"/>
              </a:solidFill>
              <a:effectLst/>
              <a:latin typeface="+mn-lt"/>
              <a:ea typeface="+mn-ea"/>
              <a:cs typeface="+mn-cs"/>
            </a:rPr>
            <a:t>Jahresabschlussbuchungen</a:t>
          </a:r>
          <a:r>
            <a:rPr lang="de-DE" sz="1400" b="1">
              <a:solidFill>
                <a:schemeClr val="dk1"/>
              </a:solidFill>
              <a:effectLst/>
              <a:latin typeface="+mn-lt"/>
              <a:ea typeface="+mn-ea"/>
              <a:cs typeface="+mn-cs"/>
            </a:rPr>
            <a:t> noch nicht vorliegen. </a:t>
          </a:r>
          <a:endParaRPr lang="de-DE" sz="1400">
            <a:solidFill>
              <a:schemeClr val="dk1"/>
            </a:solidFill>
            <a:effectLst/>
            <a:latin typeface="+mn-lt"/>
            <a:ea typeface="+mn-ea"/>
            <a:cs typeface="+mn-cs"/>
          </a:endParaRPr>
        </a:p>
        <a:p>
          <a:r>
            <a:rPr lang="de-DE" sz="1400" b="1">
              <a:solidFill>
                <a:schemeClr val="dk1"/>
              </a:solidFill>
              <a:effectLst/>
              <a:latin typeface="+mn-lt"/>
              <a:ea typeface="+mn-ea"/>
              <a:cs typeface="+mn-cs"/>
            </a:rPr>
            <a:t>Der Status "vorläufiges Rechnungsergebnis" ist zu wählen, sobald für das Haushaltsjahr ein vorläufiges, d.h. verwaltungsseitiges Rechnungsergebnis vorliegt. Sobald ein geprüftes Rechnungsergebnis vorliegt, ist dieser Status zu wählen.</a:t>
          </a:r>
          <a:endParaRPr lang="de-DE" sz="1400">
            <a:solidFill>
              <a:schemeClr val="dk1"/>
            </a:solidFill>
            <a:effectLst/>
            <a:latin typeface="+mn-lt"/>
            <a:ea typeface="+mn-ea"/>
            <a:cs typeface="+mn-cs"/>
          </a:endParaRPr>
        </a:p>
        <a:p>
          <a:endParaRPr lang="de-DE" sz="14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8</xdr:row>
      <xdr:rowOff>57150</xdr:rowOff>
    </xdr:from>
    <xdr:to>
      <xdr:col>7</xdr:col>
      <xdr:colOff>752475</xdr:colOff>
      <xdr:row>24</xdr:row>
      <xdr:rowOff>76200</xdr:rowOff>
    </xdr:to>
    <xdr:sp macro="" textlink="">
      <xdr:nvSpPr>
        <xdr:cNvPr id="28696" name="Object 24" hidden="1">
          <a:extLst>
            <a:ext uri="{63B3BB69-23CF-44E3-9099-C40C66FF867C}">
              <a14:compatExt xmlns:a14="http://schemas.microsoft.com/office/drawing/2010/main" spid="_x0000_s28696"/>
            </a:ext>
            <a:ext uri="{FF2B5EF4-FFF2-40B4-BE49-F238E27FC236}">
              <a16:creationId xmlns:a16="http://schemas.microsoft.com/office/drawing/2014/main" id="{00000000-0008-0000-0B00-000018700000}"/>
            </a:ext>
          </a:extLst>
        </xdr:cNvPr>
        <xdr:cNvSpPr/>
      </xdr:nvSpPr>
      <xdr:spPr>
        <a:xfrm>
          <a:off x="0" y="0"/>
          <a:ext cx="0" cy="0"/>
        </a:xfrm>
        <a:prstGeom prst="rect">
          <a:avLst/>
        </a:prstGeom>
      </xdr:spPr>
    </xdr:sp>
    <xdr:clientData fLocksWithSheet="0"/>
  </xdr:twoCellAnchor>
  <mc:AlternateContent xmlns:mc="http://schemas.openxmlformats.org/markup-compatibility/2006">
    <mc:Choice xmlns:a14="http://schemas.microsoft.com/office/drawing/2010/main" Requires="a14">
      <xdr:twoCellAnchor editAs="oneCell">
        <xdr:from>
          <xdr:col>1</xdr:col>
          <xdr:colOff>9525</xdr:colOff>
          <xdr:row>7</xdr:row>
          <xdr:rowOff>438150</xdr:rowOff>
        </xdr:from>
        <xdr:to>
          <xdr:col>7</xdr:col>
          <xdr:colOff>38100</xdr:colOff>
          <xdr:row>26</xdr:row>
          <xdr:rowOff>104775</xdr:rowOff>
        </xdr:to>
        <xdr:sp macro="" textlink="">
          <xdr:nvSpPr>
            <xdr:cNvPr id="23565" name="Object 13" hidden="1">
              <a:extLst>
                <a:ext uri="{63B3BB69-23CF-44E3-9099-C40C66FF867C}">
                  <a14:compatExt spid="_x0000_s23565"/>
                </a:ext>
                <a:ext uri="{FF2B5EF4-FFF2-40B4-BE49-F238E27FC236}">
                  <a16:creationId xmlns:a16="http://schemas.microsoft.com/office/drawing/2014/main" id="{00000000-0008-0000-0B00-00000D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H451"/>
  <sheetViews>
    <sheetView workbookViewId="0">
      <selection activeCell="G370" sqref="G370:G371"/>
    </sheetView>
  </sheetViews>
  <sheetFormatPr baseColWidth="10" defaultRowHeight="12.75"/>
  <cols>
    <col min="1" max="1" width="13.5" style="298" bestFit="1" customWidth="1"/>
    <col min="2" max="2" width="19.5" style="298" customWidth="1"/>
    <col min="3" max="3" width="15.125" style="298" bestFit="1" customWidth="1"/>
    <col min="4" max="4" width="11.375" style="298" customWidth="1"/>
    <col min="5" max="5" width="16.625" style="298" bestFit="1" customWidth="1"/>
    <col min="6" max="6" width="11.875" style="298" bestFit="1" customWidth="1"/>
    <col min="7" max="13" width="10" style="298" customWidth="1"/>
    <col min="14" max="14" width="33.875" style="298" customWidth="1"/>
    <col min="15" max="24" width="10" style="298" hidden="1" customWidth="1"/>
    <col min="25" max="25" width="0.125" style="298" customWidth="1"/>
    <col min="26" max="34" width="10" style="298" hidden="1" customWidth="1"/>
    <col min="35" max="35" width="9.75" style="298" customWidth="1"/>
    <col min="36" max="255" width="11" style="298"/>
    <col min="256" max="256" width="6.125" style="298" customWidth="1"/>
    <col min="257" max="257" width="19.5" style="298" customWidth="1"/>
    <col min="258" max="258" width="15.125" style="298" bestFit="1" customWidth="1"/>
    <col min="259" max="259" width="11.375" style="298" customWidth="1"/>
    <col min="260" max="260" width="16.625" style="298" bestFit="1" customWidth="1"/>
    <col min="261" max="261" width="11.875" style="298" bestFit="1" customWidth="1"/>
    <col min="262" max="262" width="17.25" style="298" bestFit="1" customWidth="1"/>
    <col min="263" max="269" width="10" style="298" customWidth="1"/>
    <col min="270" max="270" width="33.875" style="298" customWidth="1"/>
    <col min="271" max="280" width="0" style="298" hidden="1" customWidth="1"/>
    <col min="281" max="281" width="0.125" style="298" customWidth="1"/>
    <col min="282" max="290" width="0" style="298" hidden="1" customWidth="1"/>
    <col min="291" max="291" width="9.75" style="298" customWidth="1"/>
    <col min="292" max="511" width="11" style="298"/>
    <col min="512" max="512" width="6.125" style="298" customWidth="1"/>
    <col min="513" max="513" width="19.5" style="298" customWidth="1"/>
    <col min="514" max="514" width="15.125" style="298" bestFit="1" customWidth="1"/>
    <col min="515" max="515" width="11.375" style="298" customWidth="1"/>
    <col min="516" max="516" width="16.625" style="298" bestFit="1" customWidth="1"/>
    <col min="517" max="517" width="11.875" style="298" bestFit="1" customWidth="1"/>
    <col min="518" max="518" width="17.25" style="298" bestFit="1" customWidth="1"/>
    <col min="519" max="525" width="10" style="298" customWidth="1"/>
    <col min="526" max="526" width="33.875" style="298" customWidth="1"/>
    <col min="527" max="536" width="0" style="298" hidden="1" customWidth="1"/>
    <col min="537" max="537" width="0.125" style="298" customWidth="1"/>
    <col min="538" max="546" width="0" style="298" hidden="1" customWidth="1"/>
    <col min="547" max="547" width="9.75" style="298" customWidth="1"/>
    <col min="548" max="767" width="11" style="298"/>
    <col min="768" max="768" width="6.125" style="298" customWidth="1"/>
    <col min="769" max="769" width="19.5" style="298" customWidth="1"/>
    <col min="770" max="770" width="15.125" style="298" bestFit="1" customWidth="1"/>
    <col min="771" max="771" width="11.375" style="298" customWidth="1"/>
    <col min="772" max="772" width="16.625" style="298" bestFit="1" customWidth="1"/>
    <col min="773" max="773" width="11.875" style="298" bestFit="1" customWidth="1"/>
    <col min="774" max="774" width="17.25" style="298" bestFit="1" customWidth="1"/>
    <col min="775" max="781" width="10" style="298" customWidth="1"/>
    <col min="782" max="782" width="33.875" style="298" customWidth="1"/>
    <col min="783" max="792" width="0" style="298" hidden="1" customWidth="1"/>
    <col min="793" max="793" width="0.125" style="298" customWidth="1"/>
    <col min="794" max="802" width="0" style="298" hidden="1" customWidth="1"/>
    <col min="803" max="803" width="9.75" style="298" customWidth="1"/>
    <col min="804" max="1023" width="11" style="298"/>
    <col min="1024" max="1024" width="6.125" style="298" customWidth="1"/>
    <col min="1025" max="1025" width="19.5" style="298" customWidth="1"/>
    <col min="1026" max="1026" width="15.125" style="298" bestFit="1" customWidth="1"/>
    <col min="1027" max="1027" width="11.375" style="298" customWidth="1"/>
    <col min="1028" max="1028" width="16.625" style="298" bestFit="1" customWidth="1"/>
    <col min="1029" max="1029" width="11.875" style="298" bestFit="1" customWidth="1"/>
    <col min="1030" max="1030" width="17.25" style="298" bestFit="1" customWidth="1"/>
    <col min="1031" max="1037" width="10" style="298" customWidth="1"/>
    <col min="1038" max="1038" width="33.875" style="298" customWidth="1"/>
    <col min="1039" max="1048" width="0" style="298" hidden="1" customWidth="1"/>
    <col min="1049" max="1049" width="0.125" style="298" customWidth="1"/>
    <col min="1050" max="1058" width="0" style="298" hidden="1" customWidth="1"/>
    <col min="1059" max="1059" width="9.75" style="298" customWidth="1"/>
    <col min="1060" max="1279" width="11" style="298"/>
    <col min="1280" max="1280" width="6.125" style="298" customWidth="1"/>
    <col min="1281" max="1281" width="19.5" style="298" customWidth="1"/>
    <col min="1282" max="1282" width="15.125" style="298" bestFit="1" customWidth="1"/>
    <col min="1283" max="1283" width="11.375" style="298" customWidth="1"/>
    <col min="1284" max="1284" width="16.625" style="298" bestFit="1" customWidth="1"/>
    <col min="1285" max="1285" width="11.875" style="298" bestFit="1" customWidth="1"/>
    <col min="1286" max="1286" width="17.25" style="298" bestFit="1" customWidth="1"/>
    <col min="1287" max="1293" width="10" style="298" customWidth="1"/>
    <col min="1294" max="1294" width="33.875" style="298" customWidth="1"/>
    <col min="1295" max="1304" width="0" style="298" hidden="1" customWidth="1"/>
    <col min="1305" max="1305" width="0.125" style="298" customWidth="1"/>
    <col min="1306" max="1314" width="0" style="298" hidden="1" customWidth="1"/>
    <col min="1315" max="1315" width="9.75" style="298" customWidth="1"/>
    <col min="1316" max="1535" width="11" style="298"/>
    <col min="1536" max="1536" width="6.125" style="298" customWidth="1"/>
    <col min="1537" max="1537" width="19.5" style="298" customWidth="1"/>
    <col min="1538" max="1538" width="15.125" style="298" bestFit="1" customWidth="1"/>
    <col min="1539" max="1539" width="11.375" style="298" customWidth="1"/>
    <col min="1540" max="1540" width="16.625" style="298" bestFit="1" customWidth="1"/>
    <col min="1541" max="1541" width="11.875" style="298" bestFit="1" customWidth="1"/>
    <col min="1542" max="1542" width="17.25" style="298" bestFit="1" customWidth="1"/>
    <col min="1543" max="1549" width="10" style="298" customWidth="1"/>
    <col min="1550" max="1550" width="33.875" style="298" customWidth="1"/>
    <col min="1551" max="1560" width="0" style="298" hidden="1" customWidth="1"/>
    <col min="1561" max="1561" width="0.125" style="298" customWidth="1"/>
    <col min="1562" max="1570" width="0" style="298" hidden="1" customWidth="1"/>
    <col min="1571" max="1571" width="9.75" style="298" customWidth="1"/>
    <col min="1572" max="1791" width="11" style="298"/>
    <col min="1792" max="1792" width="6.125" style="298" customWidth="1"/>
    <col min="1793" max="1793" width="19.5" style="298" customWidth="1"/>
    <col min="1794" max="1794" width="15.125" style="298" bestFit="1" customWidth="1"/>
    <col min="1795" max="1795" width="11.375" style="298" customWidth="1"/>
    <col min="1796" max="1796" width="16.625" style="298" bestFit="1" customWidth="1"/>
    <col min="1797" max="1797" width="11.875" style="298" bestFit="1" customWidth="1"/>
    <col min="1798" max="1798" width="17.25" style="298" bestFit="1" customWidth="1"/>
    <col min="1799" max="1805" width="10" style="298" customWidth="1"/>
    <col min="1806" max="1806" width="33.875" style="298" customWidth="1"/>
    <col min="1807" max="1816" width="0" style="298" hidden="1" customWidth="1"/>
    <col min="1817" max="1817" width="0.125" style="298" customWidth="1"/>
    <col min="1818" max="1826" width="0" style="298" hidden="1" customWidth="1"/>
    <col min="1827" max="1827" width="9.75" style="298" customWidth="1"/>
    <col min="1828" max="2047" width="11" style="298"/>
    <col min="2048" max="2048" width="6.125" style="298" customWidth="1"/>
    <col min="2049" max="2049" width="19.5" style="298" customWidth="1"/>
    <col min="2050" max="2050" width="15.125" style="298" bestFit="1" customWidth="1"/>
    <col min="2051" max="2051" width="11.375" style="298" customWidth="1"/>
    <col min="2052" max="2052" width="16.625" style="298" bestFit="1" customWidth="1"/>
    <col min="2053" max="2053" width="11.875" style="298" bestFit="1" customWidth="1"/>
    <col min="2054" max="2054" width="17.25" style="298" bestFit="1" customWidth="1"/>
    <col min="2055" max="2061" width="10" style="298" customWidth="1"/>
    <col min="2062" max="2062" width="33.875" style="298" customWidth="1"/>
    <col min="2063" max="2072" width="0" style="298" hidden="1" customWidth="1"/>
    <col min="2073" max="2073" width="0.125" style="298" customWidth="1"/>
    <col min="2074" max="2082" width="0" style="298" hidden="1" customWidth="1"/>
    <col min="2083" max="2083" width="9.75" style="298" customWidth="1"/>
    <col min="2084" max="2303" width="11" style="298"/>
    <col min="2304" max="2304" width="6.125" style="298" customWidth="1"/>
    <col min="2305" max="2305" width="19.5" style="298" customWidth="1"/>
    <col min="2306" max="2306" width="15.125" style="298" bestFit="1" customWidth="1"/>
    <col min="2307" max="2307" width="11.375" style="298" customWidth="1"/>
    <col min="2308" max="2308" width="16.625" style="298" bestFit="1" customWidth="1"/>
    <col min="2309" max="2309" width="11.875" style="298" bestFit="1" customWidth="1"/>
    <col min="2310" max="2310" width="17.25" style="298" bestFit="1" customWidth="1"/>
    <col min="2311" max="2317" width="10" style="298" customWidth="1"/>
    <col min="2318" max="2318" width="33.875" style="298" customWidth="1"/>
    <col min="2319" max="2328" width="0" style="298" hidden="1" customWidth="1"/>
    <col min="2329" max="2329" width="0.125" style="298" customWidth="1"/>
    <col min="2330" max="2338" width="0" style="298" hidden="1" customWidth="1"/>
    <col min="2339" max="2339" width="9.75" style="298" customWidth="1"/>
    <col min="2340" max="2559" width="11" style="298"/>
    <col min="2560" max="2560" width="6.125" style="298" customWidth="1"/>
    <col min="2561" max="2561" width="19.5" style="298" customWidth="1"/>
    <col min="2562" max="2562" width="15.125" style="298" bestFit="1" customWidth="1"/>
    <col min="2563" max="2563" width="11.375" style="298" customWidth="1"/>
    <col min="2564" max="2564" width="16.625" style="298" bestFit="1" customWidth="1"/>
    <col min="2565" max="2565" width="11.875" style="298" bestFit="1" customWidth="1"/>
    <col min="2566" max="2566" width="17.25" style="298" bestFit="1" customWidth="1"/>
    <col min="2567" max="2573" width="10" style="298" customWidth="1"/>
    <col min="2574" max="2574" width="33.875" style="298" customWidth="1"/>
    <col min="2575" max="2584" width="0" style="298" hidden="1" customWidth="1"/>
    <col min="2585" max="2585" width="0.125" style="298" customWidth="1"/>
    <col min="2586" max="2594" width="0" style="298" hidden="1" customWidth="1"/>
    <col min="2595" max="2595" width="9.75" style="298" customWidth="1"/>
    <col min="2596" max="2815" width="11" style="298"/>
    <col min="2816" max="2816" width="6.125" style="298" customWidth="1"/>
    <col min="2817" max="2817" width="19.5" style="298" customWidth="1"/>
    <col min="2818" max="2818" width="15.125" style="298" bestFit="1" customWidth="1"/>
    <col min="2819" max="2819" width="11.375" style="298" customWidth="1"/>
    <col min="2820" max="2820" width="16.625" style="298" bestFit="1" customWidth="1"/>
    <col min="2821" max="2821" width="11.875" style="298" bestFit="1" customWidth="1"/>
    <col min="2822" max="2822" width="17.25" style="298" bestFit="1" customWidth="1"/>
    <col min="2823" max="2829" width="10" style="298" customWidth="1"/>
    <col min="2830" max="2830" width="33.875" style="298" customWidth="1"/>
    <col min="2831" max="2840" width="0" style="298" hidden="1" customWidth="1"/>
    <col min="2841" max="2841" width="0.125" style="298" customWidth="1"/>
    <col min="2842" max="2850" width="0" style="298" hidden="1" customWidth="1"/>
    <col min="2851" max="2851" width="9.75" style="298" customWidth="1"/>
    <col min="2852" max="3071" width="11" style="298"/>
    <col min="3072" max="3072" width="6.125" style="298" customWidth="1"/>
    <col min="3073" max="3073" width="19.5" style="298" customWidth="1"/>
    <col min="3074" max="3074" width="15.125" style="298" bestFit="1" customWidth="1"/>
    <col min="3075" max="3075" width="11.375" style="298" customWidth="1"/>
    <col min="3076" max="3076" width="16.625" style="298" bestFit="1" customWidth="1"/>
    <col min="3077" max="3077" width="11.875" style="298" bestFit="1" customWidth="1"/>
    <col min="3078" max="3078" width="17.25" style="298" bestFit="1" customWidth="1"/>
    <col min="3079" max="3085" width="10" style="298" customWidth="1"/>
    <col min="3086" max="3086" width="33.875" style="298" customWidth="1"/>
    <col min="3087" max="3096" width="0" style="298" hidden="1" customWidth="1"/>
    <col min="3097" max="3097" width="0.125" style="298" customWidth="1"/>
    <col min="3098" max="3106" width="0" style="298" hidden="1" customWidth="1"/>
    <col min="3107" max="3107" width="9.75" style="298" customWidth="1"/>
    <col min="3108" max="3327" width="11" style="298"/>
    <col min="3328" max="3328" width="6.125" style="298" customWidth="1"/>
    <col min="3329" max="3329" width="19.5" style="298" customWidth="1"/>
    <col min="3330" max="3330" width="15.125" style="298" bestFit="1" customWidth="1"/>
    <col min="3331" max="3331" width="11.375" style="298" customWidth="1"/>
    <col min="3332" max="3332" width="16.625" style="298" bestFit="1" customWidth="1"/>
    <col min="3333" max="3333" width="11.875" style="298" bestFit="1" customWidth="1"/>
    <col min="3334" max="3334" width="17.25" style="298" bestFit="1" customWidth="1"/>
    <col min="3335" max="3341" width="10" style="298" customWidth="1"/>
    <col min="3342" max="3342" width="33.875" style="298" customWidth="1"/>
    <col min="3343" max="3352" width="0" style="298" hidden="1" customWidth="1"/>
    <col min="3353" max="3353" width="0.125" style="298" customWidth="1"/>
    <col min="3354" max="3362" width="0" style="298" hidden="1" customWidth="1"/>
    <col min="3363" max="3363" width="9.75" style="298" customWidth="1"/>
    <col min="3364" max="3583" width="11" style="298"/>
    <col min="3584" max="3584" width="6.125" style="298" customWidth="1"/>
    <col min="3585" max="3585" width="19.5" style="298" customWidth="1"/>
    <col min="3586" max="3586" width="15.125" style="298" bestFit="1" customWidth="1"/>
    <col min="3587" max="3587" width="11.375" style="298" customWidth="1"/>
    <col min="3588" max="3588" width="16.625" style="298" bestFit="1" customWidth="1"/>
    <col min="3589" max="3589" width="11.875" style="298" bestFit="1" customWidth="1"/>
    <col min="3590" max="3590" width="17.25" style="298" bestFit="1" customWidth="1"/>
    <col min="3591" max="3597" width="10" style="298" customWidth="1"/>
    <col min="3598" max="3598" width="33.875" style="298" customWidth="1"/>
    <col min="3599" max="3608" width="0" style="298" hidden="1" customWidth="1"/>
    <col min="3609" max="3609" width="0.125" style="298" customWidth="1"/>
    <col min="3610" max="3618" width="0" style="298" hidden="1" customWidth="1"/>
    <col min="3619" max="3619" width="9.75" style="298" customWidth="1"/>
    <col min="3620" max="3839" width="11" style="298"/>
    <col min="3840" max="3840" width="6.125" style="298" customWidth="1"/>
    <col min="3841" max="3841" width="19.5" style="298" customWidth="1"/>
    <col min="3842" max="3842" width="15.125" style="298" bestFit="1" customWidth="1"/>
    <col min="3843" max="3843" width="11.375" style="298" customWidth="1"/>
    <col min="3844" max="3844" width="16.625" style="298" bestFit="1" customWidth="1"/>
    <col min="3845" max="3845" width="11.875" style="298" bestFit="1" customWidth="1"/>
    <col min="3846" max="3846" width="17.25" style="298" bestFit="1" customWidth="1"/>
    <col min="3847" max="3853" width="10" style="298" customWidth="1"/>
    <col min="3854" max="3854" width="33.875" style="298" customWidth="1"/>
    <col min="3855" max="3864" width="0" style="298" hidden="1" customWidth="1"/>
    <col min="3865" max="3865" width="0.125" style="298" customWidth="1"/>
    <col min="3866" max="3874" width="0" style="298" hidden="1" customWidth="1"/>
    <col min="3875" max="3875" width="9.75" style="298" customWidth="1"/>
    <col min="3876" max="4095" width="11" style="298"/>
    <col min="4096" max="4096" width="6.125" style="298" customWidth="1"/>
    <col min="4097" max="4097" width="19.5" style="298" customWidth="1"/>
    <col min="4098" max="4098" width="15.125" style="298" bestFit="1" customWidth="1"/>
    <col min="4099" max="4099" width="11.375" style="298" customWidth="1"/>
    <col min="4100" max="4100" width="16.625" style="298" bestFit="1" customWidth="1"/>
    <col min="4101" max="4101" width="11.875" style="298" bestFit="1" customWidth="1"/>
    <col min="4102" max="4102" width="17.25" style="298" bestFit="1" customWidth="1"/>
    <col min="4103" max="4109" width="10" style="298" customWidth="1"/>
    <col min="4110" max="4110" width="33.875" style="298" customWidth="1"/>
    <col min="4111" max="4120" width="0" style="298" hidden="1" customWidth="1"/>
    <col min="4121" max="4121" width="0.125" style="298" customWidth="1"/>
    <col min="4122" max="4130" width="0" style="298" hidden="1" customWidth="1"/>
    <col min="4131" max="4131" width="9.75" style="298" customWidth="1"/>
    <col min="4132" max="4351" width="11" style="298"/>
    <col min="4352" max="4352" width="6.125" style="298" customWidth="1"/>
    <col min="4353" max="4353" width="19.5" style="298" customWidth="1"/>
    <col min="4354" max="4354" width="15.125" style="298" bestFit="1" customWidth="1"/>
    <col min="4355" max="4355" width="11.375" style="298" customWidth="1"/>
    <col min="4356" max="4356" width="16.625" style="298" bestFit="1" customWidth="1"/>
    <col min="4357" max="4357" width="11.875" style="298" bestFit="1" customWidth="1"/>
    <col min="4358" max="4358" width="17.25" style="298" bestFit="1" customWidth="1"/>
    <col min="4359" max="4365" width="10" style="298" customWidth="1"/>
    <col min="4366" max="4366" width="33.875" style="298" customWidth="1"/>
    <col min="4367" max="4376" width="0" style="298" hidden="1" customWidth="1"/>
    <col min="4377" max="4377" width="0.125" style="298" customWidth="1"/>
    <col min="4378" max="4386" width="0" style="298" hidden="1" customWidth="1"/>
    <col min="4387" max="4387" width="9.75" style="298" customWidth="1"/>
    <col min="4388" max="4607" width="11" style="298"/>
    <col min="4608" max="4608" width="6.125" style="298" customWidth="1"/>
    <col min="4609" max="4609" width="19.5" style="298" customWidth="1"/>
    <col min="4610" max="4610" width="15.125" style="298" bestFit="1" customWidth="1"/>
    <col min="4611" max="4611" width="11.375" style="298" customWidth="1"/>
    <col min="4612" max="4612" width="16.625" style="298" bestFit="1" customWidth="1"/>
    <col min="4613" max="4613" width="11.875" style="298" bestFit="1" customWidth="1"/>
    <col min="4614" max="4614" width="17.25" style="298" bestFit="1" customWidth="1"/>
    <col min="4615" max="4621" width="10" style="298" customWidth="1"/>
    <col min="4622" max="4622" width="33.875" style="298" customWidth="1"/>
    <col min="4623" max="4632" width="0" style="298" hidden="1" customWidth="1"/>
    <col min="4633" max="4633" width="0.125" style="298" customWidth="1"/>
    <col min="4634" max="4642" width="0" style="298" hidden="1" customWidth="1"/>
    <col min="4643" max="4643" width="9.75" style="298" customWidth="1"/>
    <col min="4644" max="4863" width="11" style="298"/>
    <col min="4864" max="4864" width="6.125" style="298" customWidth="1"/>
    <col min="4865" max="4865" width="19.5" style="298" customWidth="1"/>
    <col min="4866" max="4866" width="15.125" style="298" bestFit="1" customWidth="1"/>
    <col min="4867" max="4867" width="11.375" style="298" customWidth="1"/>
    <col min="4868" max="4868" width="16.625" style="298" bestFit="1" customWidth="1"/>
    <col min="4869" max="4869" width="11.875" style="298" bestFit="1" customWidth="1"/>
    <col min="4870" max="4870" width="17.25" style="298" bestFit="1" customWidth="1"/>
    <col min="4871" max="4877" width="10" style="298" customWidth="1"/>
    <col min="4878" max="4878" width="33.875" style="298" customWidth="1"/>
    <col min="4879" max="4888" width="0" style="298" hidden="1" customWidth="1"/>
    <col min="4889" max="4889" width="0.125" style="298" customWidth="1"/>
    <col min="4890" max="4898" width="0" style="298" hidden="1" customWidth="1"/>
    <col min="4899" max="4899" width="9.75" style="298" customWidth="1"/>
    <col min="4900" max="5119" width="11" style="298"/>
    <col min="5120" max="5120" width="6.125" style="298" customWidth="1"/>
    <col min="5121" max="5121" width="19.5" style="298" customWidth="1"/>
    <col min="5122" max="5122" width="15.125" style="298" bestFit="1" customWidth="1"/>
    <col min="5123" max="5123" width="11.375" style="298" customWidth="1"/>
    <col min="5124" max="5124" width="16.625" style="298" bestFit="1" customWidth="1"/>
    <col min="5125" max="5125" width="11.875" style="298" bestFit="1" customWidth="1"/>
    <col min="5126" max="5126" width="17.25" style="298" bestFit="1" customWidth="1"/>
    <col min="5127" max="5133" width="10" style="298" customWidth="1"/>
    <col min="5134" max="5134" width="33.875" style="298" customWidth="1"/>
    <col min="5135" max="5144" width="0" style="298" hidden="1" customWidth="1"/>
    <col min="5145" max="5145" width="0.125" style="298" customWidth="1"/>
    <col min="5146" max="5154" width="0" style="298" hidden="1" customWidth="1"/>
    <col min="5155" max="5155" width="9.75" style="298" customWidth="1"/>
    <col min="5156" max="5375" width="11" style="298"/>
    <col min="5376" max="5376" width="6.125" style="298" customWidth="1"/>
    <col min="5377" max="5377" width="19.5" style="298" customWidth="1"/>
    <col min="5378" max="5378" width="15.125" style="298" bestFit="1" customWidth="1"/>
    <col min="5379" max="5379" width="11.375" style="298" customWidth="1"/>
    <col min="5380" max="5380" width="16.625" style="298" bestFit="1" customWidth="1"/>
    <col min="5381" max="5381" width="11.875" style="298" bestFit="1" customWidth="1"/>
    <col min="5382" max="5382" width="17.25" style="298" bestFit="1" customWidth="1"/>
    <col min="5383" max="5389" width="10" style="298" customWidth="1"/>
    <col min="5390" max="5390" width="33.875" style="298" customWidth="1"/>
    <col min="5391" max="5400" width="0" style="298" hidden="1" customWidth="1"/>
    <col min="5401" max="5401" width="0.125" style="298" customWidth="1"/>
    <col min="5402" max="5410" width="0" style="298" hidden="1" customWidth="1"/>
    <col min="5411" max="5411" width="9.75" style="298" customWidth="1"/>
    <col min="5412" max="5631" width="11" style="298"/>
    <col min="5632" max="5632" width="6.125" style="298" customWidth="1"/>
    <col min="5633" max="5633" width="19.5" style="298" customWidth="1"/>
    <col min="5634" max="5634" width="15.125" style="298" bestFit="1" customWidth="1"/>
    <col min="5635" max="5635" width="11.375" style="298" customWidth="1"/>
    <col min="5636" max="5636" width="16.625" style="298" bestFit="1" customWidth="1"/>
    <col min="5637" max="5637" width="11.875" style="298" bestFit="1" customWidth="1"/>
    <col min="5638" max="5638" width="17.25" style="298" bestFit="1" customWidth="1"/>
    <col min="5639" max="5645" width="10" style="298" customWidth="1"/>
    <col min="5646" max="5646" width="33.875" style="298" customWidth="1"/>
    <col min="5647" max="5656" width="0" style="298" hidden="1" customWidth="1"/>
    <col min="5657" max="5657" width="0.125" style="298" customWidth="1"/>
    <col min="5658" max="5666" width="0" style="298" hidden="1" customWidth="1"/>
    <col min="5667" max="5667" width="9.75" style="298" customWidth="1"/>
    <col min="5668" max="5887" width="11" style="298"/>
    <col min="5888" max="5888" width="6.125" style="298" customWidth="1"/>
    <col min="5889" max="5889" width="19.5" style="298" customWidth="1"/>
    <col min="5890" max="5890" width="15.125" style="298" bestFit="1" customWidth="1"/>
    <col min="5891" max="5891" width="11.375" style="298" customWidth="1"/>
    <col min="5892" max="5892" width="16.625" style="298" bestFit="1" customWidth="1"/>
    <col min="5893" max="5893" width="11.875" style="298" bestFit="1" customWidth="1"/>
    <col min="5894" max="5894" width="17.25" style="298" bestFit="1" customWidth="1"/>
    <col min="5895" max="5901" width="10" style="298" customWidth="1"/>
    <col min="5902" max="5902" width="33.875" style="298" customWidth="1"/>
    <col min="5903" max="5912" width="0" style="298" hidden="1" customWidth="1"/>
    <col min="5913" max="5913" width="0.125" style="298" customWidth="1"/>
    <col min="5914" max="5922" width="0" style="298" hidden="1" customWidth="1"/>
    <col min="5923" max="5923" width="9.75" style="298" customWidth="1"/>
    <col min="5924" max="6143" width="11" style="298"/>
    <col min="6144" max="6144" width="6.125" style="298" customWidth="1"/>
    <col min="6145" max="6145" width="19.5" style="298" customWidth="1"/>
    <col min="6146" max="6146" width="15.125" style="298" bestFit="1" customWidth="1"/>
    <col min="6147" max="6147" width="11.375" style="298" customWidth="1"/>
    <col min="6148" max="6148" width="16.625" style="298" bestFit="1" customWidth="1"/>
    <col min="6149" max="6149" width="11.875" style="298" bestFit="1" customWidth="1"/>
    <col min="6150" max="6150" width="17.25" style="298" bestFit="1" customWidth="1"/>
    <col min="6151" max="6157" width="10" style="298" customWidth="1"/>
    <col min="6158" max="6158" width="33.875" style="298" customWidth="1"/>
    <col min="6159" max="6168" width="0" style="298" hidden="1" customWidth="1"/>
    <col min="6169" max="6169" width="0.125" style="298" customWidth="1"/>
    <col min="6170" max="6178" width="0" style="298" hidden="1" customWidth="1"/>
    <col min="6179" max="6179" width="9.75" style="298" customWidth="1"/>
    <col min="6180" max="6399" width="11" style="298"/>
    <col min="6400" max="6400" width="6.125" style="298" customWidth="1"/>
    <col min="6401" max="6401" width="19.5" style="298" customWidth="1"/>
    <col min="6402" max="6402" width="15.125" style="298" bestFit="1" customWidth="1"/>
    <col min="6403" max="6403" width="11.375" style="298" customWidth="1"/>
    <col min="6404" max="6404" width="16.625" style="298" bestFit="1" customWidth="1"/>
    <col min="6405" max="6405" width="11.875" style="298" bestFit="1" customWidth="1"/>
    <col min="6406" max="6406" width="17.25" style="298" bestFit="1" customWidth="1"/>
    <col min="6407" max="6413" width="10" style="298" customWidth="1"/>
    <col min="6414" max="6414" width="33.875" style="298" customWidth="1"/>
    <col min="6415" max="6424" width="0" style="298" hidden="1" customWidth="1"/>
    <col min="6425" max="6425" width="0.125" style="298" customWidth="1"/>
    <col min="6426" max="6434" width="0" style="298" hidden="1" customWidth="1"/>
    <col min="6435" max="6435" width="9.75" style="298" customWidth="1"/>
    <col min="6436" max="6655" width="11" style="298"/>
    <col min="6656" max="6656" width="6.125" style="298" customWidth="1"/>
    <col min="6657" max="6657" width="19.5" style="298" customWidth="1"/>
    <col min="6658" max="6658" width="15.125" style="298" bestFit="1" customWidth="1"/>
    <col min="6659" max="6659" width="11.375" style="298" customWidth="1"/>
    <col min="6660" max="6660" width="16.625" style="298" bestFit="1" customWidth="1"/>
    <col min="6661" max="6661" width="11.875" style="298" bestFit="1" customWidth="1"/>
    <col min="6662" max="6662" width="17.25" style="298" bestFit="1" customWidth="1"/>
    <col min="6663" max="6669" width="10" style="298" customWidth="1"/>
    <col min="6670" max="6670" width="33.875" style="298" customWidth="1"/>
    <col min="6671" max="6680" width="0" style="298" hidden="1" customWidth="1"/>
    <col min="6681" max="6681" width="0.125" style="298" customWidth="1"/>
    <col min="6682" max="6690" width="0" style="298" hidden="1" customWidth="1"/>
    <col min="6691" max="6691" width="9.75" style="298" customWidth="1"/>
    <col min="6692" max="6911" width="11" style="298"/>
    <col min="6912" max="6912" width="6.125" style="298" customWidth="1"/>
    <col min="6913" max="6913" width="19.5" style="298" customWidth="1"/>
    <col min="6914" max="6914" width="15.125" style="298" bestFit="1" customWidth="1"/>
    <col min="6915" max="6915" width="11.375" style="298" customWidth="1"/>
    <col min="6916" max="6916" width="16.625" style="298" bestFit="1" customWidth="1"/>
    <col min="6917" max="6917" width="11.875" style="298" bestFit="1" customWidth="1"/>
    <col min="6918" max="6918" width="17.25" style="298" bestFit="1" customWidth="1"/>
    <col min="6919" max="6925" width="10" style="298" customWidth="1"/>
    <col min="6926" max="6926" width="33.875" style="298" customWidth="1"/>
    <col min="6927" max="6936" width="0" style="298" hidden="1" customWidth="1"/>
    <col min="6937" max="6937" width="0.125" style="298" customWidth="1"/>
    <col min="6938" max="6946" width="0" style="298" hidden="1" customWidth="1"/>
    <col min="6947" max="6947" width="9.75" style="298" customWidth="1"/>
    <col min="6948" max="7167" width="11" style="298"/>
    <col min="7168" max="7168" width="6.125" style="298" customWidth="1"/>
    <col min="7169" max="7169" width="19.5" style="298" customWidth="1"/>
    <col min="7170" max="7170" width="15.125" style="298" bestFit="1" customWidth="1"/>
    <col min="7171" max="7171" width="11.375" style="298" customWidth="1"/>
    <col min="7172" max="7172" width="16.625" style="298" bestFit="1" customWidth="1"/>
    <col min="7173" max="7173" width="11.875" style="298" bestFit="1" customWidth="1"/>
    <col min="7174" max="7174" width="17.25" style="298" bestFit="1" customWidth="1"/>
    <col min="7175" max="7181" width="10" style="298" customWidth="1"/>
    <col min="7182" max="7182" width="33.875" style="298" customWidth="1"/>
    <col min="7183" max="7192" width="0" style="298" hidden="1" customWidth="1"/>
    <col min="7193" max="7193" width="0.125" style="298" customWidth="1"/>
    <col min="7194" max="7202" width="0" style="298" hidden="1" customWidth="1"/>
    <col min="7203" max="7203" width="9.75" style="298" customWidth="1"/>
    <col min="7204" max="7423" width="11" style="298"/>
    <col min="7424" max="7424" width="6.125" style="298" customWidth="1"/>
    <col min="7425" max="7425" width="19.5" style="298" customWidth="1"/>
    <col min="7426" max="7426" width="15.125" style="298" bestFit="1" customWidth="1"/>
    <col min="7427" max="7427" width="11.375" style="298" customWidth="1"/>
    <col min="7428" max="7428" width="16.625" style="298" bestFit="1" customWidth="1"/>
    <col min="7429" max="7429" width="11.875" style="298" bestFit="1" customWidth="1"/>
    <col min="7430" max="7430" width="17.25" style="298" bestFit="1" customWidth="1"/>
    <col min="7431" max="7437" width="10" style="298" customWidth="1"/>
    <col min="7438" max="7438" width="33.875" style="298" customWidth="1"/>
    <col min="7439" max="7448" width="0" style="298" hidden="1" customWidth="1"/>
    <col min="7449" max="7449" width="0.125" style="298" customWidth="1"/>
    <col min="7450" max="7458" width="0" style="298" hidden="1" customWidth="1"/>
    <col min="7459" max="7459" width="9.75" style="298" customWidth="1"/>
    <col min="7460" max="7679" width="11" style="298"/>
    <col min="7680" max="7680" width="6.125" style="298" customWidth="1"/>
    <col min="7681" max="7681" width="19.5" style="298" customWidth="1"/>
    <col min="7682" max="7682" width="15.125" style="298" bestFit="1" customWidth="1"/>
    <col min="7683" max="7683" width="11.375" style="298" customWidth="1"/>
    <col min="7684" max="7684" width="16.625" style="298" bestFit="1" customWidth="1"/>
    <col min="7685" max="7685" width="11.875" style="298" bestFit="1" customWidth="1"/>
    <col min="7686" max="7686" width="17.25" style="298" bestFit="1" customWidth="1"/>
    <col min="7687" max="7693" width="10" style="298" customWidth="1"/>
    <col min="7694" max="7694" width="33.875" style="298" customWidth="1"/>
    <col min="7695" max="7704" width="0" style="298" hidden="1" customWidth="1"/>
    <col min="7705" max="7705" width="0.125" style="298" customWidth="1"/>
    <col min="7706" max="7714" width="0" style="298" hidden="1" customWidth="1"/>
    <col min="7715" max="7715" width="9.75" style="298" customWidth="1"/>
    <col min="7716" max="7935" width="11" style="298"/>
    <col min="7936" max="7936" width="6.125" style="298" customWidth="1"/>
    <col min="7937" max="7937" width="19.5" style="298" customWidth="1"/>
    <col min="7938" max="7938" width="15.125" style="298" bestFit="1" customWidth="1"/>
    <col min="7939" max="7939" width="11.375" style="298" customWidth="1"/>
    <col min="7940" max="7940" width="16.625" style="298" bestFit="1" customWidth="1"/>
    <col min="7941" max="7941" width="11.875" style="298" bestFit="1" customWidth="1"/>
    <col min="7942" max="7942" width="17.25" style="298" bestFit="1" customWidth="1"/>
    <col min="7943" max="7949" width="10" style="298" customWidth="1"/>
    <col min="7950" max="7950" width="33.875" style="298" customWidth="1"/>
    <col min="7951" max="7960" width="0" style="298" hidden="1" customWidth="1"/>
    <col min="7961" max="7961" width="0.125" style="298" customWidth="1"/>
    <col min="7962" max="7970" width="0" style="298" hidden="1" customWidth="1"/>
    <col min="7971" max="7971" width="9.75" style="298" customWidth="1"/>
    <col min="7972" max="8191" width="11" style="298"/>
    <col min="8192" max="8192" width="6.125" style="298" customWidth="1"/>
    <col min="8193" max="8193" width="19.5" style="298" customWidth="1"/>
    <col min="8194" max="8194" width="15.125" style="298" bestFit="1" customWidth="1"/>
    <col min="8195" max="8195" width="11.375" style="298" customWidth="1"/>
    <col min="8196" max="8196" width="16.625" style="298" bestFit="1" customWidth="1"/>
    <col min="8197" max="8197" width="11.875" style="298" bestFit="1" customWidth="1"/>
    <col min="8198" max="8198" width="17.25" style="298" bestFit="1" customWidth="1"/>
    <col min="8199" max="8205" width="10" style="298" customWidth="1"/>
    <col min="8206" max="8206" width="33.875" style="298" customWidth="1"/>
    <col min="8207" max="8216" width="0" style="298" hidden="1" customWidth="1"/>
    <col min="8217" max="8217" width="0.125" style="298" customWidth="1"/>
    <col min="8218" max="8226" width="0" style="298" hidden="1" customWidth="1"/>
    <col min="8227" max="8227" width="9.75" style="298" customWidth="1"/>
    <col min="8228" max="8447" width="11" style="298"/>
    <col min="8448" max="8448" width="6.125" style="298" customWidth="1"/>
    <col min="8449" max="8449" width="19.5" style="298" customWidth="1"/>
    <col min="8450" max="8450" width="15.125" style="298" bestFit="1" customWidth="1"/>
    <col min="8451" max="8451" width="11.375" style="298" customWidth="1"/>
    <col min="8452" max="8452" width="16.625" style="298" bestFit="1" customWidth="1"/>
    <col min="8453" max="8453" width="11.875" style="298" bestFit="1" customWidth="1"/>
    <col min="8454" max="8454" width="17.25" style="298" bestFit="1" customWidth="1"/>
    <col min="8455" max="8461" width="10" style="298" customWidth="1"/>
    <col min="8462" max="8462" width="33.875" style="298" customWidth="1"/>
    <col min="8463" max="8472" width="0" style="298" hidden="1" customWidth="1"/>
    <col min="8473" max="8473" width="0.125" style="298" customWidth="1"/>
    <col min="8474" max="8482" width="0" style="298" hidden="1" customWidth="1"/>
    <col min="8483" max="8483" width="9.75" style="298" customWidth="1"/>
    <col min="8484" max="8703" width="11" style="298"/>
    <col min="8704" max="8704" width="6.125" style="298" customWidth="1"/>
    <col min="8705" max="8705" width="19.5" style="298" customWidth="1"/>
    <col min="8706" max="8706" width="15.125" style="298" bestFit="1" customWidth="1"/>
    <col min="8707" max="8707" width="11.375" style="298" customWidth="1"/>
    <col min="8708" max="8708" width="16.625" style="298" bestFit="1" customWidth="1"/>
    <col min="8709" max="8709" width="11.875" style="298" bestFit="1" customWidth="1"/>
    <col min="8710" max="8710" width="17.25" style="298" bestFit="1" customWidth="1"/>
    <col min="8711" max="8717" width="10" style="298" customWidth="1"/>
    <col min="8718" max="8718" width="33.875" style="298" customWidth="1"/>
    <col min="8719" max="8728" width="0" style="298" hidden="1" customWidth="1"/>
    <col min="8729" max="8729" width="0.125" style="298" customWidth="1"/>
    <col min="8730" max="8738" width="0" style="298" hidden="1" customWidth="1"/>
    <col min="8739" max="8739" width="9.75" style="298" customWidth="1"/>
    <col min="8740" max="8959" width="11" style="298"/>
    <col min="8960" max="8960" width="6.125" style="298" customWidth="1"/>
    <col min="8961" max="8961" width="19.5" style="298" customWidth="1"/>
    <col min="8962" max="8962" width="15.125" style="298" bestFit="1" customWidth="1"/>
    <col min="8963" max="8963" width="11.375" style="298" customWidth="1"/>
    <col min="8964" max="8964" width="16.625" style="298" bestFit="1" customWidth="1"/>
    <col min="8965" max="8965" width="11.875" style="298" bestFit="1" customWidth="1"/>
    <col min="8966" max="8966" width="17.25" style="298" bestFit="1" customWidth="1"/>
    <col min="8967" max="8973" width="10" style="298" customWidth="1"/>
    <col min="8974" max="8974" width="33.875" style="298" customWidth="1"/>
    <col min="8975" max="8984" width="0" style="298" hidden="1" customWidth="1"/>
    <col min="8985" max="8985" width="0.125" style="298" customWidth="1"/>
    <col min="8986" max="8994" width="0" style="298" hidden="1" customWidth="1"/>
    <col min="8995" max="8995" width="9.75" style="298" customWidth="1"/>
    <col min="8996" max="9215" width="11" style="298"/>
    <col min="9216" max="9216" width="6.125" style="298" customWidth="1"/>
    <col min="9217" max="9217" width="19.5" style="298" customWidth="1"/>
    <col min="9218" max="9218" width="15.125" style="298" bestFit="1" customWidth="1"/>
    <col min="9219" max="9219" width="11.375" style="298" customWidth="1"/>
    <col min="9220" max="9220" width="16.625" style="298" bestFit="1" customWidth="1"/>
    <col min="9221" max="9221" width="11.875" style="298" bestFit="1" customWidth="1"/>
    <col min="9222" max="9222" width="17.25" style="298" bestFit="1" customWidth="1"/>
    <col min="9223" max="9229" width="10" style="298" customWidth="1"/>
    <col min="9230" max="9230" width="33.875" style="298" customWidth="1"/>
    <col min="9231" max="9240" width="0" style="298" hidden="1" customWidth="1"/>
    <col min="9241" max="9241" width="0.125" style="298" customWidth="1"/>
    <col min="9242" max="9250" width="0" style="298" hidden="1" customWidth="1"/>
    <col min="9251" max="9251" width="9.75" style="298" customWidth="1"/>
    <col min="9252" max="9471" width="11" style="298"/>
    <col min="9472" max="9472" width="6.125" style="298" customWidth="1"/>
    <col min="9473" max="9473" width="19.5" style="298" customWidth="1"/>
    <col min="9474" max="9474" width="15.125" style="298" bestFit="1" customWidth="1"/>
    <col min="9475" max="9475" width="11.375" style="298" customWidth="1"/>
    <col min="9476" max="9476" width="16.625" style="298" bestFit="1" customWidth="1"/>
    <col min="9477" max="9477" width="11.875" style="298" bestFit="1" customWidth="1"/>
    <col min="9478" max="9478" width="17.25" style="298" bestFit="1" customWidth="1"/>
    <col min="9479" max="9485" width="10" style="298" customWidth="1"/>
    <col min="9486" max="9486" width="33.875" style="298" customWidth="1"/>
    <col min="9487" max="9496" width="0" style="298" hidden="1" customWidth="1"/>
    <col min="9497" max="9497" width="0.125" style="298" customWidth="1"/>
    <col min="9498" max="9506" width="0" style="298" hidden="1" customWidth="1"/>
    <col min="9507" max="9507" width="9.75" style="298" customWidth="1"/>
    <col min="9508" max="9727" width="11" style="298"/>
    <col min="9728" max="9728" width="6.125" style="298" customWidth="1"/>
    <col min="9729" max="9729" width="19.5" style="298" customWidth="1"/>
    <col min="9730" max="9730" width="15.125" style="298" bestFit="1" customWidth="1"/>
    <col min="9731" max="9731" width="11.375" style="298" customWidth="1"/>
    <col min="9732" max="9732" width="16.625" style="298" bestFit="1" customWidth="1"/>
    <col min="9733" max="9733" width="11.875" style="298" bestFit="1" customWidth="1"/>
    <col min="9734" max="9734" width="17.25" style="298" bestFit="1" customWidth="1"/>
    <col min="9735" max="9741" width="10" style="298" customWidth="1"/>
    <col min="9742" max="9742" width="33.875" style="298" customWidth="1"/>
    <col min="9743" max="9752" width="0" style="298" hidden="1" customWidth="1"/>
    <col min="9753" max="9753" width="0.125" style="298" customWidth="1"/>
    <col min="9754" max="9762" width="0" style="298" hidden="1" customWidth="1"/>
    <col min="9763" max="9763" width="9.75" style="298" customWidth="1"/>
    <col min="9764" max="9983" width="11" style="298"/>
    <col min="9984" max="9984" width="6.125" style="298" customWidth="1"/>
    <col min="9985" max="9985" width="19.5" style="298" customWidth="1"/>
    <col min="9986" max="9986" width="15.125" style="298" bestFit="1" customWidth="1"/>
    <col min="9987" max="9987" width="11.375" style="298" customWidth="1"/>
    <col min="9988" max="9988" width="16.625" style="298" bestFit="1" customWidth="1"/>
    <col min="9989" max="9989" width="11.875" style="298" bestFit="1" customWidth="1"/>
    <col min="9990" max="9990" width="17.25" style="298" bestFit="1" customWidth="1"/>
    <col min="9991" max="9997" width="10" style="298" customWidth="1"/>
    <col min="9998" max="9998" width="33.875" style="298" customWidth="1"/>
    <col min="9999" max="10008" width="0" style="298" hidden="1" customWidth="1"/>
    <col min="10009" max="10009" width="0.125" style="298" customWidth="1"/>
    <col min="10010" max="10018" width="0" style="298" hidden="1" customWidth="1"/>
    <col min="10019" max="10019" width="9.75" style="298" customWidth="1"/>
    <col min="10020" max="10239" width="11" style="298"/>
    <col min="10240" max="10240" width="6.125" style="298" customWidth="1"/>
    <col min="10241" max="10241" width="19.5" style="298" customWidth="1"/>
    <col min="10242" max="10242" width="15.125" style="298" bestFit="1" customWidth="1"/>
    <col min="10243" max="10243" width="11.375" style="298" customWidth="1"/>
    <col min="10244" max="10244" width="16.625" style="298" bestFit="1" customWidth="1"/>
    <col min="10245" max="10245" width="11.875" style="298" bestFit="1" customWidth="1"/>
    <col min="10246" max="10246" width="17.25" style="298" bestFit="1" customWidth="1"/>
    <col min="10247" max="10253" width="10" style="298" customWidth="1"/>
    <col min="10254" max="10254" width="33.875" style="298" customWidth="1"/>
    <col min="10255" max="10264" width="0" style="298" hidden="1" customWidth="1"/>
    <col min="10265" max="10265" width="0.125" style="298" customWidth="1"/>
    <col min="10266" max="10274" width="0" style="298" hidden="1" customWidth="1"/>
    <col min="10275" max="10275" width="9.75" style="298" customWidth="1"/>
    <col min="10276" max="10495" width="11" style="298"/>
    <col min="10496" max="10496" width="6.125" style="298" customWidth="1"/>
    <col min="10497" max="10497" width="19.5" style="298" customWidth="1"/>
    <col min="10498" max="10498" width="15.125" style="298" bestFit="1" customWidth="1"/>
    <col min="10499" max="10499" width="11.375" style="298" customWidth="1"/>
    <col min="10500" max="10500" width="16.625" style="298" bestFit="1" customWidth="1"/>
    <col min="10501" max="10501" width="11.875" style="298" bestFit="1" customWidth="1"/>
    <col min="10502" max="10502" width="17.25" style="298" bestFit="1" customWidth="1"/>
    <col min="10503" max="10509" width="10" style="298" customWidth="1"/>
    <col min="10510" max="10510" width="33.875" style="298" customWidth="1"/>
    <col min="10511" max="10520" width="0" style="298" hidden="1" customWidth="1"/>
    <col min="10521" max="10521" width="0.125" style="298" customWidth="1"/>
    <col min="10522" max="10530" width="0" style="298" hidden="1" customWidth="1"/>
    <col min="10531" max="10531" width="9.75" style="298" customWidth="1"/>
    <col min="10532" max="10751" width="11" style="298"/>
    <col min="10752" max="10752" width="6.125" style="298" customWidth="1"/>
    <col min="10753" max="10753" width="19.5" style="298" customWidth="1"/>
    <col min="10754" max="10754" width="15.125" style="298" bestFit="1" customWidth="1"/>
    <col min="10755" max="10755" width="11.375" style="298" customWidth="1"/>
    <col min="10756" max="10756" width="16.625" style="298" bestFit="1" customWidth="1"/>
    <col min="10757" max="10757" width="11.875" style="298" bestFit="1" customWidth="1"/>
    <col min="10758" max="10758" width="17.25" style="298" bestFit="1" customWidth="1"/>
    <col min="10759" max="10765" width="10" style="298" customWidth="1"/>
    <col min="10766" max="10766" width="33.875" style="298" customWidth="1"/>
    <col min="10767" max="10776" width="0" style="298" hidden="1" customWidth="1"/>
    <col min="10777" max="10777" width="0.125" style="298" customWidth="1"/>
    <col min="10778" max="10786" width="0" style="298" hidden="1" customWidth="1"/>
    <col min="10787" max="10787" width="9.75" style="298" customWidth="1"/>
    <col min="10788" max="11007" width="11" style="298"/>
    <col min="11008" max="11008" width="6.125" style="298" customWidth="1"/>
    <col min="11009" max="11009" width="19.5" style="298" customWidth="1"/>
    <col min="11010" max="11010" width="15.125" style="298" bestFit="1" customWidth="1"/>
    <col min="11011" max="11011" width="11.375" style="298" customWidth="1"/>
    <col min="11012" max="11012" width="16.625" style="298" bestFit="1" customWidth="1"/>
    <col min="11013" max="11013" width="11.875" style="298" bestFit="1" customWidth="1"/>
    <col min="11014" max="11014" width="17.25" style="298" bestFit="1" customWidth="1"/>
    <col min="11015" max="11021" width="10" style="298" customWidth="1"/>
    <col min="11022" max="11022" width="33.875" style="298" customWidth="1"/>
    <col min="11023" max="11032" width="0" style="298" hidden="1" customWidth="1"/>
    <col min="11033" max="11033" width="0.125" style="298" customWidth="1"/>
    <col min="11034" max="11042" width="0" style="298" hidden="1" customWidth="1"/>
    <col min="11043" max="11043" width="9.75" style="298" customWidth="1"/>
    <col min="11044" max="11263" width="11" style="298"/>
    <col min="11264" max="11264" width="6.125" style="298" customWidth="1"/>
    <col min="11265" max="11265" width="19.5" style="298" customWidth="1"/>
    <col min="11266" max="11266" width="15.125" style="298" bestFit="1" customWidth="1"/>
    <col min="11267" max="11267" width="11.375" style="298" customWidth="1"/>
    <col min="11268" max="11268" width="16.625" style="298" bestFit="1" customWidth="1"/>
    <col min="11269" max="11269" width="11.875" style="298" bestFit="1" customWidth="1"/>
    <col min="11270" max="11270" width="17.25" style="298" bestFit="1" customWidth="1"/>
    <col min="11271" max="11277" width="10" style="298" customWidth="1"/>
    <col min="11278" max="11278" width="33.875" style="298" customWidth="1"/>
    <col min="11279" max="11288" width="0" style="298" hidden="1" customWidth="1"/>
    <col min="11289" max="11289" width="0.125" style="298" customWidth="1"/>
    <col min="11290" max="11298" width="0" style="298" hidden="1" customWidth="1"/>
    <col min="11299" max="11299" width="9.75" style="298" customWidth="1"/>
    <col min="11300" max="11519" width="11" style="298"/>
    <col min="11520" max="11520" width="6.125" style="298" customWidth="1"/>
    <col min="11521" max="11521" width="19.5" style="298" customWidth="1"/>
    <col min="11522" max="11522" width="15.125" style="298" bestFit="1" customWidth="1"/>
    <col min="11523" max="11523" width="11.375" style="298" customWidth="1"/>
    <col min="11524" max="11524" width="16.625" style="298" bestFit="1" customWidth="1"/>
    <col min="11525" max="11525" width="11.875" style="298" bestFit="1" customWidth="1"/>
    <col min="11526" max="11526" width="17.25" style="298" bestFit="1" customWidth="1"/>
    <col min="11527" max="11533" width="10" style="298" customWidth="1"/>
    <col min="11534" max="11534" width="33.875" style="298" customWidth="1"/>
    <col min="11535" max="11544" width="0" style="298" hidden="1" customWidth="1"/>
    <col min="11545" max="11545" width="0.125" style="298" customWidth="1"/>
    <col min="11546" max="11554" width="0" style="298" hidden="1" customWidth="1"/>
    <col min="11555" max="11555" width="9.75" style="298" customWidth="1"/>
    <col min="11556" max="11775" width="11" style="298"/>
    <col min="11776" max="11776" width="6.125" style="298" customWidth="1"/>
    <col min="11777" max="11777" width="19.5" style="298" customWidth="1"/>
    <col min="11778" max="11778" width="15.125" style="298" bestFit="1" customWidth="1"/>
    <col min="11779" max="11779" width="11.375" style="298" customWidth="1"/>
    <col min="11780" max="11780" width="16.625" style="298" bestFit="1" customWidth="1"/>
    <col min="11781" max="11781" width="11.875" style="298" bestFit="1" customWidth="1"/>
    <col min="11782" max="11782" width="17.25" style="298" bestFit="1" customWidth="1"/>
    <col min="11783" max="11789" width="10" style="298" customWidth="1"/>
    <col min="11790" max="11790" width="33.875" style="298" customWidth="1"/>
    <col min="11791" max="11800" width="0" style="298" hidden="1" customWidth="1"/>
    <col min="11801" max="11801" width="0.125" style="298" customWidth="1"/>
    <col min="11802" max="11810" width="0" style="298" hidden="1" customWidth="1"/>
    <col min="11811" max="11811" width="9.75" style="298" customWidth="1"/>
    <col min="11812" max="12031" width="11" style="298"/>
    <col min="12032" max="12032" width="6.125" style="298" customWidth="1"/>
    <col min="12033" max="12033" width="19.5" style="298" customWidth="1"/>
    <col min="12034" max="12034" width="15.125" style="298" bestFit="1" customWidth="1"/>
    <col min="12035" max="12035" width="11.375" style="298" customWidth="1"/>
    <col min="12036" max="12036" width="16.625" style="298" bestFit="1" customWidth="1"/>
    <col min="12037" max="12037" width="11.875" style="298" bestFit="1" customWidth="1"/>
    <col min="12038" max="12038" width="17.25" style="298" bestFit="1" customWidth="1"/>
    <col min="12039" max="12045" width="10" style="298" customWidth="1"/>
    <col min="12046" max="12046" width="33.875" style="298" customWidth="1"/>
    <col min="12047" max="12056" width="0" style="298" hidden="1" customWidth="1"/>
    <col min="12057" max="12057" width="0.125" style="298" customWidth="1"/>
    <col min="12058" max="12066" width="0" style="298" hidden="1" customWidth="1"/>
    <col min="12067" max="12067" width="9.75" style="298" customWidth="1"/>
    <col min="12068" max="12287" width="11" style="298"/>
    <col min="12288" max="12288" width="6.125" style="298" customWidth="1"/>
    <col min="12289" max="12289" width="19.5" style="298" customWidth="1"/>
    <col min="12290" max="12290" width="15.125" style="298" bestFit="1" customWidth="1"/>
    <col min="12291" max="12291" width="11.375" style="298" customWidth="1"/>
    <col min="12292" max="12292" width="16.625" style="298" bestFit="1" customWidth="1"/>
    <col min="12293" max="12293" width="11.875" style="298" bestFit="1" customWidth="1"/>
    <col min="12294" max="12294" width="17.25" style="298" bestFit="1" customWidth="1"/>
    <col min="12295" max="12301" width="10" style="298" customWidth="1"/>
    <col min="12302" max="12302" width="33.875" style="298" customWidth="1"/>
    <col min="12303" max="12312" width="0" style="298" hidden="1" customWidth="1"/>
    <col min="12313" max="12313" width="0.125" style="298" customWidth="1"/>
    <col min="12314" max="12322" width="0" style="298" hidden="1" customWidth="1"/>
    <col min="12323" max="12323" width="9.75" style="298" customWidth="1"/>
    <col min="12324" max="12543" width="11" style="298"/>
    <col min="12544" max="12544" width="6.125" style="298" customWidth="1"/>
    <col min="12545" max="12545" width="19.5" style="298" customWidth="1"/>
    <col min="12546" max="12546" width="15.125" style="298" bestFit="1" customWidth="1"/>
    <col min="12547" max="12547" width="11.375" style="298" customWidth="1"/>
    <col min="12548" max="12548" width="16.625" style="298" bestFit="1" customWidth="1"/>
    <col min="12549" max="12549" width="11.875" style="298" bestFit="1" customWidth="1"/>
    <col min="12550" max="12550" width="17.25" style="298" bestFit="1" customWidth="1"/>
    <col min="12551" max="12557" width="10" style="298" customWidth="1"/>
    <col min="12558" max="12558" width="33.875" style="298" customWidth="1"/>
    <col min="12559" max="12568" width="0" style="298" hidden="1" customWidth="1"/>
    <col min="12569" max="12569" width="0.125" style="298" customWidth="1"/>
    <col min="12570" max="12578" width="0" style="298" hidden="1" customWidth="1"/>
    <col min="12579" max="12579" width="9.75" style="298" customWidth="1"/>
    <col min="12580" max="12799" width="11" style="298"/>
    <col min="12800" max="12800" width="6.125" style="298" customWidth="1"/>
    <col min="12801" max="12801" width="19.5" style="298" customWidth="1"/>
    <col min="12802" max="12802" width="15.125" style="298" bestFit="1" customWidth="1"/>
    <col min="12803" max="12803" width="11.375" style="298" customWidth="1"/>
    <col min="12804" max="12804" width="16.625" style="298" bestFit="1" customWidth="1"/>
    <col min="12805" max="12805" width="11.875" style="298" bestFit="1" customWidth="1"/>
    <col min="12806" max="12806" width="17.25" style="298" bestFit="1" customWidth="1"/>
    <col min="12807" max="12813" width="10" style="298" customWidth="1"/>
    <col min="12814" max="12814" width="33.875" style="298" customWidth="1"/>
    <col min="12815" max="12824" width="0" style="298" hidden="1" customWidth="1"/>
    <col min="12825" max="12825" width="0.125" style="298" customWidth="1"/>
    <col min="12826" max="12834" width="0" style="298" hidden="1" customWidth="1"/>
    <col min="12835" max="12835" width="9.75" style="298" customWidth="1"/>
    <col min="12836" max="13055" width="11" style="298"/>
    <col min="13056" max="13056" width="6.125" style="298" customWidth="1"/>
    <col min="13057" max="13057" width="19.5" style="298" customWidth="1"/>
    <col min="13058" max="13058" width="15.125" style="298" bestFit="1" customWidth="1"/>
    <col min="13059" max="13059" width="11.375" style="298" customWidth="1"/>
    <col min="13060" max="13060" width="16.625" style="298" bestFit="1" customWidth="1"/>
    <col min="13061" max="13061" width="11.875" style="298" bestFit="1" customWidth="1"/>
    <col min="13062" max="13062" width="17.25" style="298" bestFit="1" customWidth="1"/>
    <col min="13063" max="13069" width="10" style="298" customWidth="1"/>
    <col min="13070" max="13070" width="33.875" style="298" customWidth="1"/>
    <col min="13071" max="13080" width="0" style="298" hidden="1" customWidth="1"/>
    <col min="13081" max="13081" width="0.125" style="298" customWidth="1"/>
    <col min="13082" max="13090" width="0" style="298" hidden="1" customWidth="1"/>
    <col min="13091" max="13091" width="9.75" style="298" customWidth="1"/>
    <col min="13092" max="13311" width="11" style="298"/>
    <col min="13312" max="13312" width="6.125" style="298" customWidth="1"/>
    <col min="13313" max="13313" width="19.5" style="298" customWidth="1"/>
    <col min="13314" max="13314" width="15.125" style="298" bestFit="1" customWidth="1"/>
    <col min="13315" max="13315" width="11.375" style="298" customWidth="1"/>
    <col min="13316" max="13316" width="16.625" style="298" bestFit="1" customWidth="1"/>
    <col min="13317" max="13317" width="11.875" style="298" bestFit="1" customWidth="1"/>
    <col min="13318" max="13318" width="17.25" style="298" bestFit="1" customWidth="1"/>
    <col min="13319" max="13325" width="10" style="298" customWidth="1"/>
    <col min="13326" max="13326" width="33.875" style="298" customWidth="1"/>
    <col min="13327" max="13336" width="0" style="298" hidden="1" customWidth="1"/>
    <col min="13337" max="13337" width="0.125" style="298" customWidth="1"/>
    <col min="13338" max="13346" width="0" style="298" hidden="1" customWidth="1"/>
    <col min="13347" max="13347" width="9.75" style="298" customWidth="1"/>
    <col min="13348" max="13567" width="11" style="298"/>
    <col min="13568" max="13568" width="6.125" style="298" customWidth="1"/>
    <col min="13569" max="13569" width="19.5" style="298" customWidth="1"/>
    <col min="13570" max="13570" width="15.125" style="298" bestFit="1" customWidth="1"/>
    <col min="13571" max="13571" width="11.375" style="298" customWidth="1"/>
    <col min="13572" max="13572" width="16.625" style="298" bestFit="1" customWidth="1"/>
    <col min="13573" max="13573" width="11.875" style="298" bestFit="1" customWidth="1"/>
    <col min="13574" max="13574" width="17.25" style="298" bestFit="1" customWidth="1"/>
    <col min="13575" max="13581" width="10" style="298" customWidth="1"/>
    <col min="13582" max="13582" width="33.875" style="298" customWidth="1"/>
    <col min="13583" max="13592" width="0" style="298" hidden="1" customWidth="1"/>
    <col min="13593" max="13593" width="0.125" style="298" customWidth="1"/>
    <col min="13594" max="13602" width="0" style="298" hidden="1" customWidth="1"/>
    <col min="13603" max="13603" width="9.75" style="298" customWidth="1"/>
    <col min="13604" max="13823" width="11" style="298"/>
    <col min="13824" max="13824" width="6.125" style="298" customWidth="1"/>
    <col min="13825" max="13825" width="19.5" style="298" customWidth="1"/>
    <col min="13826" max="13826" width="15.125" style="298" bestFit="1" customWidth="1"/>
    <col min="13827" max="13827" width="11.375" style="298" customWidth="1"/>
    <col min="13828" max="13828" width="16.625" style="298" bestFit="1" customWidth="1"/>
    <col min="13829" max="13829" width="11.875" style="298" bestFit="1" customWidth="1"/>
    <col min="13830" max="13830" width="17.25" style="298" bestFit="1" customWidth="1"/>
    <col min="13831" max="13837" width="10" style="298" customWidth="1"/>
    <col min="13838" max="13838" width="33.875" style="298" customWidth="1"/>
    <col min="13839" max="13848" width="0" style="298" hidden="1" customWidth="1"/>
    <col min="13849" max="13849" width="0.125" style="298" customWidth="1"/>
    <col min="13850" max="13858" width="0" style="298" hidden="1" customWidth="1"/>
    <col min="13859" max="13859" width="9.75" style="298" customWidth="1"/>
    <col min="13860" max="14079" width="11" style="298"/>
    <col min="14080" max="14080" width="6.125" style="298" customWidth="1"/>
    <col min="14081" max="14081" width="19.5" style="298" customWidth="1"/>
    <col min="14082" max="14082" width="15.125" style="298" bestFit="1" customWidth="1"/>
    <col min="14083" max="14083" width="11.375" style="298" customWidth="1"/>
    <col min="14084" max="14084" width="16.625" style="298" bestFit="1" customWidth="1"/>
    <col min="14085" max="14085" width="11.875" style="298" bestFit="1" customWidth="1"/>
    <col min="14086" max="14086" width="17.25" style="298" bestFit="1" customWidth="1"/>
    <col min="14087" max="14093" width="10" style="298" customWidth="1"/>
    <col min="14094" max="14094" width="33.875" style="298" customWidth="1"/>
    <col min="14095" max="14104" width="0" style="298" hidden="1" customWidth="1"/>
    <col min="14105" max="14105" width="0.125" style="298" customWidth="1"/>
    <col min="14106" max="14114" width="0" style="298" hidden="1" customWidth="1"/>
    <col min="14115" max="14115" width="9.75" style="298" customWidth="1"/>
    <col min="14116" max="14335" width="11" style="298"/>
    <col min="14336" max="14336" width="6.125" style="298" customWidth="1"/>
    <col min="14337" max="14337" width="19.5" style="298" customWidth="1"/>
    <col min="14338" max="14338" width="15.125" style="298" bestFit="1" customWidth="1"/>
    <col min="14339" max="14339" width="11.375" style="298" customWidth="1"/>
    <col min="14340" max="14340" width="16.625" style="298" bestFit="1" customWidth="1"/>
    <col min="14341" max="14341" width="11.875" style="298" bestFit="1" customWidth="1"/>
    <col min="14342" max="14342" width="17.25" style="298" bestFit="1" customWidth="1"/>
    <col min="14343" max="14349" width="10" style="298" customWidth="1"/>
    <col min="14350" max="14350" width="33.875" style="298" customWidth="1"/>
    <col min="14351" max="14360" width="0" style="298" hidden="1" customWidth="1"/>
    <col min="14361" max="14361" width="0.125" style="298" customWidth="1"/>
    <col min="14362" max="14370" width="0" style="298" hidden="1" customWidth="1"/>
    <col min="14371" max="14371" width="9.75" style="298" customWidth="1"/>
    <col min="14372" max="14591" width="11" style="298"/>
    <col min="14592" max="14592" width="6.125" style="298" customWidth="1"/>
    <col min="14593" max="14593" width="19.5" style="298" customWidth="1"/>
    <col min="14594" max="14594" width="15.125" style="298" bestFit="1" customWidth="1"/>
    <col min="14595" max="14595" width="11.375" style="298" customWidth="1"/>
    <col min="14596" max="14596" width="16.625" style="298" bestFit="1" customWidth="1"/>
    <col min="14597" max="14597" width="11.875" style="298" bestFit="1" customWidth="1"/>
    <col min="14598" max="14598" width="17.25" style="298" bestFit="1" customWidth="1"/>
    <col min="14599" max="14605" width="10" style="298" customWidth="1"/>
    <col min="14606" max="14606" width="33.875" style="298" customWidth="1"/>
    <col min="14607" max="14616" width="0" style="298" hidden="1" customWidth="1"/>
    <col min="14617" max="14617" width="0.125" style="298" customWidth="1"/>
    <col min="14618" max="14626" width="0" style="298" hidden="1" customWidth="1"/>
    <col min="14627" max="14627" width="9.75" style="298" customWidth="1"/>
    <col min="14628" max="14847" width="11" style="298"/>
    <col min="14848" max="14848" width="6.125" style="298" customWidth="1"/>
    <col min="14849" max="14849" width="19.5" style="298" customWidth="1"/>
    <col min="14850" max="14850" width="15.125" style="298" bestFit="1" customWidth="1"/>
    <col min="14851" max="14851" width="11.375" style="298" customWidth="1"/>
    <col min="14852" max="14852" width="16.625" style="298" bestFit="1" customWidth="1"/>
    <col min="14853" max="14853" width="11.875" style="298" bestFit="1" customWidth="1"/>
    <col min="14854" max="14854" width="17.25" style="298" bestFit="1" customWidth="1"/>
    <col min="14855" max="14861" width="10" style="298" customWidth="1"/>
    <col min="14862" max="14862" width="33.875" style="298" customWidth="1"/>
    <col min="14863" max="14872" width="0" style="298" hidden="1" customWidth="1"/>
    <col min="14873" max="14873" width="0.125" style="298" customWidth="1"/>
    <col min="14874" max="14882" width="0" style="298" hidden="1" customWidth="1"/>
    <col min="14883" max="14883" width="9.75" style="298" customWidth="1"/>
    <col min="14884" max="15103" width="11" style="298"/>
    <col min="15104" max="15104" width="6.125" style="298" customWidth="1"/>
    <col min="15105" max="15105" width="19.5" style="298" customWidth="1"/>
    <col min="15106" max="15106" width="15.125" style="298" bestFit="1" customWidth="1"/>
    <col min="15107" max="15107" width="11.375" style="298" customWidth="1"/>
    <col min="15108" max="15108" width="16.625" style="298" bestFit="1" customWidth="1"/>
    <col min="15109" max="15109" width="11.875" style="298" bestFit="1" customWidth="1"/>
    <col min="15110" max="15110" width="17.25" style="298" bestFit="1" customWidth="1"/>
    <col min="15111" max="15117" width="10" style="298" customWidth="1"/>
    <col min="15118" max="15118" width="33.875" style="298" customWidth="1"/>
    <col min="15119" max="15128" width="0" style="298" hidden="1" customWidth="1"/>
    <col min="15129" max="15129" width="0.125" style="298" customWidth="1"/>
    <col min="15130" max="15138" width="0" style="298" hidden="1" customWidth="1"/>
    <col min="15139" max="15139" width="9.75" style="298" customWidth="1"/>
    <col min="15140" max="15359" width="11" style="298"/>
    <col min="15360" max="15360" width="6.125" style="298" customWidth="1"/>
    <col min="15361" max="15361" width="19.5" style="298" customWidth="1"/>
    <col min="15362" max="15362" width="15.125" style="298" bestFit="1" customWidth="1"/>
    <col min="15363" max="15363" width="11.375" style="298" customWidth="1"/>
    <col min="15364" max="15364" width="16.625" style="298" bestFit="1" customWidth="1"/>
    <col min="15365" max="15365" width="11.875" style="298" bestFit="1" customWidth="1"/>
    <col min="15366" max="15366" width="17.25" style="298" bestFit="1" customWidth="1"/>
    <col min="15367" max="15373" width="10" style="298" customWidth="1"/>
    <col min="15374" max="15374" width="33.875" style="298" customWidth="1"/>
    <col min="15375" max="15384" width="0" style="298" hidden="1" customWidth="1"/>
    <col min="15385" max="15385" width="0.125" style="298" customWidth="1"/>
    <col min="15386" max="15394" width="0" style="298" hidden="1" customWidth="1"/>
    <col min="15395" max="15395" width="9.75" style="298" customWidth="1"/>
    <col min="15396" max="15615" width="11" style="298"/>
    <col min="15616" max="15616" width="6.125" style="298" customWidth="1"/>
    <col min="15617" max="15617" width="19.5" style="298" customWidth="1"/>
    <col min="15618" max="15618" width="15.125" style="298" bestFit="1" customWidth="1"/>
    <col min="15619" max="15619" width="11.375" style="298" customWidth="1"/>
    <col min="15620" max="15620" width="16.625" style="298" bestFit="1" customWidth="1"/>
    <col min="15621" max="15621" width="11.875" style="298" bestFit="1" customWidth="1"/>
    <col min="15622" max="15622" width="17.25" style="298" bestFit="1" customWidth="1"/>
    <col min="15623" max="15629" width="10" style="298" customWidth="1"/>
    <col min="15630" max="15630" width="33.875" style="298" customWidth="1"/>
    <col min="15631" max="15640" width="0" style="298" hidden="1" customWidth="1"/>
    <col min="15641" max="15641" width="0.125" style="298" customWidth="1"/>
    <col min="15642" max="15650" width="0" style="298" hidden="1" customWidth="1"/>
    <col min="15651" max="15651" width="9.75" style="298" customWidth="1"/>
    <col min="15652" max="15871" width="11" style="298"/>
    <col min="15872" max="15872" width="6.125" style="298" customWidth="1"/>
    <col min="15873" max="15873" width="19.5" style="298" customWidth="1"/>
    <col min="15874" max="15874" width="15.125" style="298" bestFit="1" customWidth="1"/>
    <col min="15875" max="15875" width="11.375" style="298" customWidth="1"/>
    <col min="15876" max="15876" width="16.625" style="298" bestFit="1" customWidth="1"/>
    <col min="15877" max="15877" width="11.875" style="298" bestFit="1" customWidth="1"/>
    <col min="15878" max="15878" width="17.25" style="298" bestFit="1" customWidth="1"/>
    <col min="15879" max="15885" width="10" style="298" customWidth="1"/>
    <col min="15886" max="15886" width="33.875" style="298" customWidth="1"/>
    <col min="15887" max="15896" width="0" style="298" hidden="1" customWidth="1"/>
    <col min="15897" max="15897" width="0.125" style="298" customWidth="1"/>
    <col min="15898" max="15906" width="0" style="298" hidden="1" customWidth="1"/>
    <col min="15907" max="15907" width="9.75" style="298" customWidth="1"/>
    <col min="15908" max="16127" width="11" style="298"/>
    <col min="16128" max="16128" width="6.125" style="298" customWidth="1"/>
    <col min="16129" max="16129" width="19.5" style="298" customWidth="1"/>
    <col min="16130" max="16130" width="15.125" style="298" bestFit="1" customWidth="1"/>
    <col min="16131" max="16131" width="11.375" style="298" customWidth="1"/>
    <col min="16132" max="16132" width="16.625" style="298" bestFit="1" customWidth="1"/>
    <col min="16133" max="16133" width="11.875" style="298" bestFit="1" customWidth="1"/>
    <col min="16134" max="16134" width="17.25" style="298" bestFit="1" customWidth="1"/>
    <col min="16135" max="16141" width="10" style="298" customWidth="1"/>
    <col min="16142" max="16142" width="33.875" style="298" customWidth="1"/>
    <col min="16143" max="16152" width="0" style="298" hidden="1" customWidth="1"/>
    <col min="16153" max="16153" width="0.125" style="298" customWidth="1"/>
    <col min="16154" max="16162" width="0" style="298" hidden="1" customWidth="1"/>
    <col min="16163" max="16163" width="9.75" style="298" customWidth="1"/>
    <col min="16164" max="16384" width="11" style="298"/>
  </cols>
  <sheetData>
    <row r="1" spans="1:8">
      <c r="A1" s="865" t="s">
        <v>686</v>
      </c>
      <c r="B1" s="865"/>
      <c r="C1" s="297" t="s">
        <v>254</v>
      </c>
      <c r="D1" s="297" t="s">
        <v>255</v>
      </c>
      <c r="E1" s="297" t="s">
        <v>56</v>
      </c>
      <c r="F1" s="297" t="s">
        <v>256</v>
      </c>
      <c r="H1" s="299"/>
    </row>
    <row r="2" spans="1:8">
      <c r="A2" s="303"/>
      <c r="B2" s="303"/>
      <c r="C2" s="303"/>
      <c r="D2" s="303"/>
      <c r="E2" s="303"/>
      <c r="F2" s="303"/>
      <c r="H2" s="299"/>
    </row>
    <row r="3" spans="1:8">
      <c r="A3" s="305">
        <v>411000</v>
      </c>
      <c r="B3" s="299" t="s">
        <v>122</v>
      </c>
      <c r="C3" s="299"/>
      <c r="D3" s="299" t="s">
        <v>122</v>
      </c>
      <c r="F3" s="299" t="s">
        <v>122</v>
      </c>
    </row>
    <row r="4" spans="1:8">
      <c r="A4" s="305">
        <v>412000</v>
      </c>
      <c r="B4" s="299" t="s">
        <v>257</v>
      </c>
      <c r="C4" s="299"/>
      <c r="D4" s="299" t="s">
        <v>122</v>
      </c>
      <c r="F4" s="299" t="s">
        <v>257</v>
      </c>
      <c r="H4" s="304"/>
    </row>
    <row r="5" spans="1:8">
      <c r="A5" s="305">
        <v>413000</v>
      </c>
      <c r="B5" s="299" t="s">
        <v>166</v>
      </c>
      <c r="C5" s="299"/>
      <c r="D5" s="299" t="s">
        <v>122</v>
      </c>
      <c r="F5" s="299" t="s">
        <v>166</v>
      </c>
    </row>
    <row r="6" spans="1:8">
      <c r="A6" s="305">
        <v>414000</v>
      </c>
      <c r="B6" s="299" t="s">
        <v>258</v>
      </c>
      <c r="C6" s="299"/>
      <c r="D6" s="299" t="s">
        <v>122</v>
      </c>
      <c r="F6" s="299" t="s">
        <v>258</v>
      </c>
    </row>
    <row r="7" spans="1:8">
      <c r="A7" s="307">
        <v>431000</v>
      </c>
      <c r="B7" s="299"/>
      <c r="C7" s="302" t="s">
        <v>260</v>
      </c>
      <c r="D7" s="299" t="s">
        <v>122</v>
      </c>
    </row>
    <row r="8" spans="1:8">
      <c r="A8" s="305">
        <v>431001</v>
      </c>
      <c r="B8" s="299" t="str">
        <f t="shared" ref="B8:B29" si="0">E8</f>
        <v>Abtsteinach</v>
      </c>
      <c r="C8" s="299" t="s">
        <v>260</v>
      </c>
      <c r="D8" s="299" t="s">
        <v>122</v>
      </c>
      <c r="E8" s="299" t="s">
        <v>259</v>
      </c>
    </row>
    <row r="9" spans="1:8">
      <c r="A9" s="305">
        <v>431002</v>
      </c>
      <c r="B9" s="299" t="str">
        <f t="shared" si="0"/>
        <v>Bensheim</v>
      </c>
      <c r="C9" s="299" t="s">
        <v>260</v>
      </c>
      <c r="D9" s="299" t="s">
        <v>122</v>
      </c>
      <c r="E9" s="299" t="s">
        <v>261</v>
      </c>
    </row>
    <row r="10" spans="1:8" s="300" customFormat="1" ht="11.25">
      <c r="A10" s="306">
        <v>431003</v>
      </c>
      <c r="B10" s="299" t="str">
        <f t="shared" si="0"/>
        <v>Biblis</v>
      </c>
      <c r="C10" s="300" t="s">
        <v>260</v>
      </c>
      <c r="D10" s="300" t="s">
        <v>122</v>
      </c>
      <c r="E10" s="300" t="s">
        <v>262</v>
      </c>
    </row>
    <row r="11" spans="1:8" s="300" customFormat="1" ht="11.25">
      <c r="A11" s="306">
        <v>431004</v>
      </c>
      <c r="B11" s="299" t="str">
        <f t="shared" si="0"/>
        <v>Birkenau</v>
      </c>
      <c r="C11" s="300" t="s">
        <v>260</v>
      </c>
      <c r="D11" s="300" t="s">
        <v>122</v>
      </c>
      <c r="E11" s="300" t="s">
        <v>263</v>
      </c>
    </row>
    <row r="12" spans="1:8" s="300" customFormat="1" ht="11.25">
      <c r="A12" s="306">
        <v>431005</v>
      </c>
      <c r="B12" s="299" t="str">
        <f t="shared" si="0"/>
        <v>Bürstadt</v>
      </c>
      <c r="C12" s="300" t="s">
        <v>260</v>
      </c>
      <c r="D12" s="300" t="s">
        <v>122</v>
      </c>
      <c r="E12" s="300" t="s">
        <v>264</v>
      </c>
    </row>
    <row r="13" spans="1:8">
      <c r="A13" s="305">
        <v>431006</v>
      </c>
      <c r="B13" s="299" t="str">
        <f t="shared" si="0"/>
        <v>Einhausen</v>
      </c>
      <c r="C13" s="299" t="s">
        <v>260</v>
      </c>
      <c r="D13" s="299" t="s">
        <v>122</v>
      </c>
      <c r="E13" s="299" t="s">
        <v>265</v>
      </c>
    </row>
    <row r="14" spans="1:8">
      <c r="A14" s="305">
        <v>431007</v>
      </c>
      <c r="B14" s="299" t="str">
        <f t="shared" si="0"/>
        <v>Fürth</v>
      </c>
      <c r="C14" s="299" t="s">
        <v>260</v>
      </c>
      <c r="D14" s="299" t="s">
        <v>122</v>
      </c>
      <c r="E14" s="299" t="s">
        <v>266</v>
      </c>
    </row>
    <row r="15" spans="1:8">
      <c r="A15" s="305">
        <v>431008</v>
      </c>
      <c r="B15" s="299" t="str">
        <f t="shared" si="0"/>
        <v>Gorxheimertal</v>
      </c>
      <c r="C15" s="299" t="s">
        <v>260</v>
      </c>
      <c r="D15" s="299" t="s">
        <v>122</v>
      </c>
      <c r="E15" s="299" t="s">
        <v>267</v>
      </c>
    </row>
    <row r="16" spans="1:8">
      <c r="A16" s="305">
        <v>431009</v>
      </c>
      <c r="B16" s="299" t="str">
        <f t="shared" si="0"/>
        <v>Grasellenbach</v>
      </c>
      <c r="C16" s="299" t="s">
        <v>260</v>
      </c>
      <c r="D16" s="299" t="s">
        <v>122</v>
      </c>
      <c r="E16" s="299" t="s">
        <v>268</v>
      </c>
    </row>
    <row r="17" spans="1:5">
      <c r="A17" s="305">
        <v>431010</v>
      </c>
      <c r="B17" s="299" t="str">
        <f t="shared" si="0"/>
        <v>Groß-Rohrheim</v>
      </c>
      <c r="C17" s="299" t="s">
        <v>260</v>
      </c>
      <c r="D17" s="299" t="s">
        <v>122</v>
      </c>
      <c r="E17" s="299" t="s">
        <v>269</v>
      </c>
    </row>
    <row r="18" spans="1:5" s="300" customFormat="1" ht="11.25">
      <c r="A18" s="306">
        <v>431011</v>
      </c>
      <c r="B18" s="299" t="str">
        <f t="shared" si="0"/>
        <v xml:space="preserve">Heppenheim </v>
      </c>
      <c r="C18" s="300" t="s">
        <v>260</v>
      </c>
      <c r="D18" s="300" t="s">
        <v>122</v>
      </c>
      <c r="E18" s="300" t="s">
        <v>668</v>
      </c>
    </row>
    <row r="19" spans="1:5" s="300" customFormat="1" ht="11.25">
      <c r="A19" s="306">
        <v>431012</v>
      </c>
      <c r="B19" s="299" t="str">
        <f t="shared" si="0"/>
        <v xml:space="preserve">Hirschhorn </v>
      </c>
      <c r="C19" s="300" t="s">
        <v>260</v>
      </c>
      <c r="D19" s="300" t="s">
        <v>122</v>
      </c>
      <c r="E19" s="300" t="s">
        <v>669</v>
      </c>
    </row>
    <row r="20" spans="1:5" s="300" customFormat="1" ht="11.25">
      <c r="A20" s="306">
        <v>431013</v>
      </c>
      <c r="B20" s="299" t="str">
        <f t="shared" si="0"/>
        <v>Lampertheim</v>
      </c>
      <c r="C20" s="300" t="s">
        <v>260</v>
      </c>
      <c r="D20" s="300" t="s">
        <v>122</v>
      </c>
      <c r="E20" s="300" t="s">
        <v>270</v>
      </c>
    </row>
    <row r="21" spans="1:5">
      <c r="A21" s="305">
        <v>431014</v>
      </c>
      <c r="B21" s="299" t="str">
        <f t="shared" si="0"/>
        <v xml:space="preserve">Lautertal </v>
      </c>
      <c r="C21" s="299" t="s">
        <v>260</v>
      </c>
      <c r="D21" s="299" t="s">
        <v>122</v>
      </c>
      <c r="E21" s="299" t="s">
        <v>653</v>
      </c>
    </row>
    <row r="22" spans="1:5">
      <c r="A22" s="305">
        <v>431015</v>
      </c>
      <c r="B22" s="299" t="str">
        <f t="shared" si="0"/>
        <v>Lindenfels</v>
      </c>
      <c r="C22" s="299" t="s">
        <v>260</v>
      </c>
      <c r="D22" s="299" t="s">
        <v>122</v>
      </c>
      <c r="E22" s="299" t="s">
        <v>271</v>
      </c>
    </row>
    <row r="23" spans="1:5">
      <c r="A23" s="305">
        <v>431016</v>
      </c>
      <c r="B23" s="299" t="str">
        <f t="shared" si="0"/>
        <v>Lorsch</v>
      </c>
      <c r="C23" s="299" t="s">
        <v>260</v>
      </c>
      <c r="D23" s="299" t="s">
        <v>122</v>
      </c>
      <c r="E23" s="299" t="s">
        <v>272</v>
      </c>
    </row>
    <row r="24" spans="1:5">
      <c r="A24" s="305">
        <v>431017</v>
      </c>
      <c r="B24" s="299" t="str">
        <f t="shared" si="0"/>
        <v>Mörlenbach</v>
      </c>
      <c r="C24" s="299" t="s">
        <v>260</v>
      </c>
      <c r="D24" s="299" t="s">
        <v>122</v>
      </c>
      <c r="E24" s="299" t="s">
        <v>273</v>
      </c>
    </row>
    <row r="25" spans="1:5">
      <c r="A25" s="305">
        <v>431018</v>
      </c>
      <c r="B25" s="299" t="str">
        <f t="shared" si="0"/>
        <v>Neckarsteinach</v>
      </c>
      <c r="C25" s="299" t="s">
        <v>260</v>
      </c>
      <c r="D25" s="299" t="s">
        <v>122</v>
      </c>
      <c r="E25" s="299" t="s">
        <v>274</v>
      </c>
    </row>
    <row r="26" spans="1:5">
      <c r="A26" s="305">
        <v>431019</v>
      </c>
      <c r="B26" s="299" t="str">
        <f t="shared" si="0"/>
        <v>Rimbach</v>
      </c>
      <c r="C26" s="299" t="s">
        <v>260</v>
      </c>
      <c r="D26" s="299" t="s">
        <v>122</v>
      </c>
      <c r="E26" s="299" t="s">
        <v>275</v>
      </c>
    </row>
    <row r="27" spans="1:5">
      <c r="A27" s="305">
        <v>431020</v>
      </c>
      <c r="B27" s="299" t="str">
        <f t="shared" si="0"/>
        <v>Viernheim</v>
      </c>
      <c r="C27" s="299" t="s">
        <v>260</v>
      </c>
      <c r="D27" s="299" t="s">
        <v>122</v>
      </c>
      <c r="E27" s="299" t="s">
        <v>276</v>
      </c>
    </row>
    <row r="28" spans="1:5">
      <c r="A28" s="305">
        <v>431021</v>
      </c>
      <c r="B28" s="299" t="str">
        <f t="shared" si="0"/>
        <v>Wald-Michelbach</v>
      </c>
      <c r="C28" s="299" t="s">
        <v>260</v>
      </c>
      <c r="D28" s="299" t="s">
        <v>122</v>
      </c>
      <c r="E28" s="299" t="s">
        <v>277</v>
      </c>
    </row>
    <row r="29" spans="1:5">
      <c r="A29" s="305">
        <v>431022</v>
      </c>
      <c r="B29" s="299" t="str">
        <f t="shared" si="0"/>
        <v>Zwingenberg</v>
      </c>
      <c r="C29" s="299" t="s">
        <v>260</v>
      </c>
      <c r="D29" s="299" t="s">
        <v>122</v>
      </c>
      <c r="E29" s="299" t="s">
        <v>278</v>
      </c>
    </row>
    <row r="30" spans="1:5">
      <c r="A30" s="307">
        <v>432000</v>
      </c>
      <c r="B30" s="299"/>
      <c r="C30" s="302" t="s">
        <v>280</v>
      </c>
      <c r="D30" s="299" t="s">
        <v>122</v>
      </c>
    </row>
    <row r="31" spans="1:5">
      <c r="A31" s="305">
        <v>432001</v>
      </c>
      <c r="B31" s="299" t="str">
        <f t="shared" ref="B31:B53" si="1">E31</f>
        <v>Alsbach-Hähnlein</v>
      </c>
      <c r="C31" s="299" t="s">
        <v>280</v>
      </c>
      <c r="D31" s="299" t="s">
        <v>122</v>
      </c>
      <c r="E31" s="299" t="s">
        <v>279</v>
      </c>
    </row>
    <row r="32" spans="1:5">
      <c r="A32" s="305">
        <v>432002</v>
      </c>
      <c r="B32" s="299" t="str">
        <f t="shared" si="1"/>
        <v>Babenhausen</v>
      </c>
      <c r="C32" s="299" t="s">
        <v>280</v>
      </c>
      <c r="D32" s="299" t="s">
        <v>122</v>
      </c>
      <c r="E32" s="299" t="s">
        <v>281</v>
      </c>
    </row>
    <row r="33" spans="1:5">
      <c r="A33" s="305">
        <v>432003</v>
      </c>
      <c r="B33" s="299" t="str">
        <f t="shared" si="1"/>
        <v>Bickenbach</v>
      </c>
      <c r="C33" s="299" t="s">
        <v>280</v>
      </c>
      <c r="D33" s="299" t="s">
        <v>122</v>
      </c>
      <c r="E33" s="299" t="s">
        <v>282</v>
      </c>
    </row>
    <row r="34" spans="1:5">
      <c r="A34" s="305">
        <v>432004</v>
      </c>
      <c r="B34" s="299" t="str">
        <f t="shared" si="1"/>
        <v>Dieburg</v>
      </c>
      <c r="C34" s="299" t="s">
        <v>280</v>
      </c>
      <c r="D34" s="299" t="s">
        <v>122</v>
      </c>
      <c r="E34" s="299" t="s">
        <v>283</v>
      </c>
    </row>
    <row r="35" spans="1:5">
      <c r="A35" s="305">
        <v>432005</v>
      </c>
      <c r="B35" s="299" t="str">
        <f t="shared" si="1"/>
        <v>Eppertshausen</v>
      </c>
      <c r="C35" s="299" t="s">
        <v>280</v>
      </c>
      <c r="D35" s="299" t="s">
        <v>122</v>
      </c>
      <c r="E35" s="299" t="s">
        <v>284</v>
      </c>
    </row>
    <row r="36" spans="1:5">
      <c r="A36" s="305">
        <v>432006</v>
      </c>
      <c r="B36" s="299" t="str">
        <f t="shared" si="1"/>
        <v>Erzhausen</v>
      </c>
      <c r="C36" s="299" t="s">
        <v>280</v>
      </c>
      <c r="D36" s="299" t="s">
        <v>122</v>
      </c>
      <c r="E36" s="299" t="s">
        <v>285</v>
      </c>
    </row>
    <row r="37" spans="1:5">
      <c r="A37" s="305">
        <v>432007</v>
      </c>
      <c r="B37" s="299" t="str">
        <f t="shared" si="1"/>
        <v>Fischbachtal</v>
      </c>
      <c r="C37" s="299" t="s">
        <v>280</v>
      </c>
      <c r="D37" s="299" t="s">
        <v>122</v>
      </c>
      <c r="E37" s="299" t="s">
        <v>286</v>
      </c>
    </row>
    <row r="38" spans="1:5">
      <c r="A38" s="305">
        <v>432008</v>
      </c>
      <c r="B38" s="299" t="str">
        <f t="shared" si="1"/>
        <v>Griesheim</v>
      </c>
      <c r="C38" s="299" t="s">
        <v>280</v>
      </c>
      <c r="D38" s="299" t="s">
        <v>122</v>
      </c>
      <c r="E38" s="299" t="s">
        <v>287</v>
      </c>
    </row>
    <row r="39" spans="1:5">
      <c r="A39" s="305">
        <v>432009</v>
      </c>
      <c r="B39" s="299" t="str">
        <f t="shared" si="1"/>
        <v>Groß-Bieberau</v>
      </c>
      <c r="C39" s="299" t="s">
        <v>280</v>
      </c>
      <c r="D39" s="299" t="s">
        <v>122</v>
      </c>
      <c r="E39" s="299" t="s">
        <v>288</v>
      </c>
    </row>
    <row r="40" spans="1:5">
      <c r="A40" s="305">
        <v>432010</v>
      </c>
      <c r="B40" s="299" t="str">
        <f t="shared" si="1"/>
        <v>Groß-Umstadt</v>
      </c>
      <c r="C40" s="299" t="s">
        <v>280</v>
      </c>
      <c r="D40" s="299" t="s">
        <v>122</v>
      </c>
      <c r="E40" s="299" t="s">
        <v>289</v>
      </c>
    </row>
    <row r="41" spans="1:5">
      <c r="A41" s="305">
        <v>432011</v>
      </c>
      <c r="B41" s="299" t="str">
        <f t="shared" si="1"/>
        <v>Groß-Zimmern</v>
      </c>
      <c r="C41" s="299" t="s">
        <v>280</v>
      </c>
      <c r="D41" s="299" t="s">
        <v>122</v>
      </c>
      <c r="E41" s="299" t="s">
        <v>290</v>
      </c>
    </row>
    <row r="42" spans="1:5">
      <c r="A42" s="305">
        <v>432012</v>
      </c>
      <c r="B42" s="299" t="str">
        <f t="shared" si="1"/>
        <v>Messel</v>
      </c>
      <c r="C42" s="299" t="s">
        <v>280</v>
      </c>
      <c r="D42" s="299" t="s">
        <v>122</v>
      </c>
      <c r="E42" s="299" t="s">
        <v>291</v>
      </c>
    </row>
    <row r="43" spans="1:5">
      <c r="A43" s="305">
        <v>432013</v>
      </c>
      <c r="B43" s="299" t="str">
        <f t="shared" si="1"/>
        <v>Modautal</v>
      </c>
      <c r="C43" s="299" t="s">
        <v>280</v>
      </c>
      <c r="D43" s="299" t="s">
        <v>122</v>
      </c>
      <c r="E43" s="299" t="s">
        <v>292</v>
      </c>
    </row>
    <row r="44" spans="1:5">
      <c r="A44" s="305">
        <v>432014</v>
      </c>
      <c r="B44" s="299" t="str">
        <f t="shared" si="1"/>
        <v>Mühltal</v>
      </c>
      <c r="C44" s="299" t="s">
        <v>280</v>
      </c>
      <c r="D44" s="299" t="s">
        <v>122</v>
      </c>
      <c r="E44" s="299" t="s">
        <v>293</v>
      </c>
    </row>
    <row r="45" spans="1:5">
      <c r="A45" s="305">
        <v>432015</v>
      </c>
      <c r="B45" s="299" t="str">
        <f t="shared" si="1"/>
        <v>Münster</v>
      </c>
      <c r="C45" s="299" t="s">
        <v>280</v>
      </c>
      <c r="D45" s="299" t="s">
        <v>122</v>
      </c>
      <c r="E45" s="299" t="s">
        <v>294</v>
      </c>
    </row>
    <row r="46" spans="1:5">
      <c r="A46" s="305">
        <v>432016</v>
      </c>
      <c r="B46" s="299" t="str">
        <f t="shared" si="1"/>
        <v>Ober-Ramstadt</v>
      </c>
      <c r="C46" s="299" t="s">
        <v>280</v>
      </c>
      <c r="D46" s="299" t="s">
        <v>122</v>
      </c>
      <c r="E46" s="299" t="s">
        <v>295</v>
      </c>
    </row>
    <row r="47" spans="1:5">
      <c r="A47" s="305">
        <v>432017</v>
      </c>
      <c r="B47" s="299" t="str">
        <f t="shared" si="1"/>
        <v>Otzberg</v>
      </c>
      <c r="C47" s="299" t="s">
        <v>280</v>
      </c>
      <c r="D47" s="299" t="s">
        <v>122</v>
      </c>
      <c r="E47" s="299" t="s">
        <v>296</v>
      </c>
    </row>
    <row r="48" spans="1:5">
      <c r="A48" s="305">
        <v>432018</v>
      </c>
      <c r="B48" s="299" t="str">
        <f t="shared" si="1"/>
        <v>Pfungstadt</v>
      </c>
      <c r="C48" s="299" t="s">
        <v>280</v>
      </c>
      <c r="D48" s="299" t="s">
        <v>122</v>
      </c>
      <c r="E48" s="299" t="s">
        <v>297</v>
      </c>
    </row>
    <row r="49" spans="1:5">
      <c r="A49" s="305">
        <v>432019</v>
      </c>
      <c r="B49" s="299" t="str">
        <f t="shared" si="1"/>
        <v>Reinheim</v>
      </c>
      <c r="C49" s="299" t="s">
        <v>280</v>
      </c>
      <c r="D49" s="299" t="s">
        <v>122</v>
      </c>
      <c r="E49" s="299" t="s">
        <v>298</v>
      </c>
    </row>
    <row r="50" spans="1:5">
      <c r="A50" s="305">
        <v>432020</v>
      </c>
      <c r="B50" s="299" t="str">
        <f t="shared" si="1"/>
        <v>Roßdorf</v>
      </c>
      <c r="C50" s="299" t="s">
        <v>280</v>
      </c>
      <c r="D50" s="299" t="s">
        <v>122</v>
      </c>
      <c r="E50" s="299" t="s">
        <v>299</v>
      </c>
    </row>
    <row r="51" spans="1:5">
      <c r="A51" s="305">
        <v>432021</v>
      </c>
      <c r="B51" s="299" t="str">
        <f t="shared" si="1"/>
        <v>Schaafheim</v>
      </c>
      <c r="C51" s="299" t="s">
        <v>280</v>
      </c>
      <c r="D51" s="299" t="s">
        <v>122</v>
      </c>
      <c r="E51" s="299" t="s">
        <v>300</v>
      </c>
    </row>
    <row r="52" spans="1:5">
      <c r="A52" s="305">
        <v>432022</v>
      </c>
      <c r="B52" s="299" t="str">
        <f t="shared" si="1"/>
        <v>Seeheim-Jugenheim</v>
      </c>
      <c r="C52" s="299" t="s">
        <v>280</v>
      </c>
      <c r="D52" s="299" t="s">
        <v>122</v>
      </c>
      <c r="E52" s="299" t="s">
        <v>301</v>
      </c>
    </row>
    <row r="53" spans="1:5">
      <c r="A53" s="305">
        <v>432023</v>
      </c>
      <c r="B53" s="299" t="str">
        <f t="shared" si="1"/>
        <v>Weiterstadt</v>
      </c>
      <c r="C53" s="299" t="s">
        <v>280</v>
      </c>
      <c r="D53" s="299" t="s">
        <v>122</v>
      </c>
      <c r="E53" s="299" t="s">
        <v>302</v>
      </c>
    </row>
    <row r="54" spans="1:5">
      <c r="A54" s="307">
        <v>433000</v>
      </c>
      <c r="B54" s="299"/>
      <c r="C54" s="302" t="s">
        <v>309</v>
      </c>
      <c r="D54" s="299" t="s">
        <v>122</v>
      </c>
    </row>
    <row r="55" spans="1:5">
      <c r="A55" s="305">
        <v>433001</v>
      </c>
      <c r="B55" s="299" t="str">
        <f t="shared" ref="B55:B68" si="2">E55</f>
        <v>Biebesheim am Rhein</v>
      </c>
      <c r="C55" s="301" t="s">
        <v>304</v>
      </c>
      <c r="D55" s="299" t="s">
        <v>122</v>
      </c>
      <c r="E55" s="299" t="s">
        <v>303</v>
      </c>
    </row>
    <row r="56" spans="1:5">
      <c r="A56" s="305">
        <v>433002</v>
      </c>
      <c r="B56" s="299" t="str">
        <f t="shared" si="2"/>
        <v>Bischofsheim</v>
      </c>
      <c r="C56" s="301" t="s">
        <v>304</v>
      </c>
      <c r="D56" s="299" t="s">
        <v>122</v>
      </c>
      <c r="E56" s="299" t="s">
        <v>305</v>
      </c>
    </row>
    <row r="57" spans="1:5">
      <c r="A57" s="305">
        <v>433003</v>
      </c>
      <c r="B57" s="299" t="str">
        <f t="shared" si="2"/>
        <v>Büttelborn</v>
      </c>
      <c r="C57" s="301" t="s">
        <v>304</v>
      </c>
      <c r="D57" s="299" t="s">
        <v>122</v>
      </c>
      <c r="E57" s="299" t="s">
        <v>306</v>
      </c>
    </row>
    <row r="58" spans="1:5">
      <c r="A58" s="305">
        <v>433004</v>
      </c>
      <c r="B58" s="299" t="str">
        <f t="shared" si="2"/>
        <v>Gernsheim</v>
      </c>
      <c r="C58" s="301" t="s">
        <v>304</v>
      </c>
      <c r="D58" s="299" t="s">
        <v>122</v>
      </c>
      <c r="E58" s="299" t="s">
        <v>307</v>
      </c>
    </row>
    <row r="59" spans="1:5">
      <c r="A59" s="305">
        <v>433005</v>
      </c>
      <c r="B59" s="299" t="str">
        <f t="shared" si="2"/>
        <v>Ginsheim-Gustavsburg</v>
      </c>
      <c r="C59" s="301" t="s">
        <v>304</v>
      </c>
      <c r="D59" s="299" t="s">
        <v>122</v>
      </c>
      <c r="E59" s="299" t="s">
        <v>308</v>
      </c>
    </row>
    <row r="60" spans="1:5">
      <c r="A60" s="305">
        <v>433006</v>
      </c>
      <c r="B60" s="299" t="str">
        <f t="shared" si="2"/>
        <v>Groß-Gerau</v>
      </c>
      <c r="C60" s="301" t="s">
        <v>304</v>
      </c>
      <c r="D60" s="299" t="s">
        <v>122</v>
      </c>
      <c r="E60" s="299" t="s">
        <v>309</v>
      </c>
    </row>
    <row r="61" spans="1:5">
      <c r="A61" s="305">
        <v>433007</v>
      </c>
      <c r="B61" s="299" t="str">
        <f t="shared" si="2"/>
        <v>Kelsterbach</v>
      </c>
      <c r="C61" s="301" t="s">
        <v>304</v>
      </c>
      <c r="D61" s="299" t="s">
        <v>122</v>
      </c>
      <c r="E61" s="299" t="s">
        <v>310</v>
      </c>
    </row>
    <row r="62" spans="1:5">
      <c r="A62" s="305">
        <v>433008</v>
      </c>
      <c r="B62" s="299" t="str">
        <f t="shared" si="2"/>
        <v>Mörfelden-Walldorf</v>
      </c>
      <c r="C62" s="301" t="s">
        <v>304</v>
      </c>
      <c r="D62" s="299" t="s">
        <v>122</v>
      </c>
      <c r="E62" s="299" t="s">
        <v>311</v>
      </c>
    </row>
    <row r="63" spans="1:5">
      <c r="A63" s="305">
        <v>433009</v>
      </c>
      <c r="B63" s="299" t="str">
        <f t="shared" si="2"/>
        <v>Nauheim</v>
      </c>
      <c r="C63" s="301" t="s">
        <v>304</v>
      </c>
      <c r="D63" s="299" t="s">
        <v>122</v>
      </c>
      <c r="E63" s="299" t="s">
        <v>312</v>
      </c>
    </row>
    <row r="64" spans="1:5">
      <c r="A64" s="305">
        <v>433010</v>
      </c>
      <c r="B64" s="299" t="str">
        <f t="shared" si="2"/>
        <v>Raunheim</v>
      </c>
      <c r="C64" s="301" t="s">
        <v>304</v>
      </c>
      <c r="D64" s="299" t="s">
        <v>122</v>
      </c>
      <c r="E64" s="299" t="s">
        <v>313</v>
      </c>
    </row>
    <row r="65" spans="1:6">
      <c r="A65" s="305">
        <v>433011</v>
      </c>
      <c r="B65" s="299" t="str">
        <f t="shared" si="2"/>
        <v>Riedstadt</v>
      </c>
      <c r="C65" s="301" t="s">
        <v>304</v>
      </c>
      <c r="D65" s="299" t="s">
        <v>122</v>
      </c>
      <c r="E65" s="299" t="s">
        <v>314</v>
      </c>
    </row>
    <row r="66" spans="1:6" s="300" customFormat="1">
      <c r="A66" s="305">
        <v>433012</v>
      </c>
      <c r="B66" s="299" t="str">
        <f t="shared" si="2"/>
        <v>Rüsselsheim</v>
      </c>
      <c r="C66" s="301" t="s">
        <v>304</v>
      </c>
      <c r="D66" s="299" t="s">
        <v>122</v>
      </c>
      <c r="E66" s="299" t="s">
        <v>315</v>
      </c>
      <c r="F66" s="298"/>
    </row>
    <row r="67" spans="1:6" s="300" customFormat="1">
      <c r="A67" s="305">
        <v>433013</v>
      </c>
      <c r="B67" s="299" t="str">
        <f t="shared" si="2"/>
        <v xml:space="preserve">Stockstadt </v>
      </c>
      <c r="C67" s="301" t="s">
        <v>304</v>
      </c>
      <c r="D67" s="299" t="s">
        <v>122</v>
      </c>
      <c r="E67" s="299" t="s">
        <v>670</v>
      </c>
      <c r="F67" s="298"/>
    </row>
    <row r="68" spans="1:6" s="300" customFormat="1" ht="11.25">
      <c r="A68" s="306">
        <v>433014</v>
      </c>
      <c r="B68" s="299" t="str">
        <f t="shared" si="2"/>
        <v>Trebur</v>
      </c>
      <c r="C68" s="300" t="s">
        <v>304</v>
      </c>
      <c r="D68" s="300" t="s">
        <v>122</v>
      </c>
      <c r="E68" s="300" t="s">
        <v>316</v>
      </c>
    </row>
    <row r="69" spans="1:6" s="300" customFormat="1">
      <c r="A69" s="307">
        <v>434000</v>
      </c>
      <c r="B69" s="299"/>
      <c r="C69" s="302" t="s">
        <v>318</v>
      </c>
      <c r="D69" s="299" t="s">
        <v>122</v>
      </c>
      <c r="E69" s="298"/>
      <c r="F69" s="298"/>
    </row>
    <row r="70" spans="1:6">
      <c r="A70" s="306">
        <v>434001</v>
      </c>
      <c r="B70" s="299" t="str">
        <f t="shared" ref="B70:B82" si="3">E70</f>
        <v>Bad Homburg v.d. Höhe</v>
      </c>
      <c r="C70" s="300" t="s">
        <v>318</v>
      </c>
      <c r="D70" s="300" t="s">
        <v>122</v>
      </c>
      <c r="E70" s="300" t="s">
        <v>317</v>
      </c>
      <c r="F70" s="300"/>
    </row>
    <row r="71" spans="1:6">
      <c r="A71" s="306">
        <v>434002</v>
      </c>
      <c r="B71" s="299" t="str">
        <f t="shared" si="3"/>
        <v>Friedrichsdorf</v>
      </c>
      <c r="C71" s="300" t="s">
        <v>318</v>
      </c>
      <c r="D71" s="300" t="s">
        <v>122</v>
      </c>
      <c r="E71" s="300" t="s">
        <v>319</v>
      </c>
      <c r="F71" s="300"/>
    </row>
    <row r="72" spans="1:6">
      <c r="A72" s="306">
        <v>434003</v>
      </c>
      <c r="B72" s="299" t="str">
        <f t="shared" si="3"/>
        <v>Glashütten</v>
      </c>
      <c r="C72" s="300" t="s">
        <v>318</v>
      </c>
      <c r="D72" s="300" t="s">
        <v>122</v>
      </c>
      <c r="E72" s="300" t="s">
        <v>320</v>
      </c>
      <c r="F72" s="300"/>
    </row>
    <row r="73" spans="1:6">
      <c r="A73" s="305">
        <v>434004</v>
      </c>
      <c r="B73" s="299" t="str">
        <f t="shared" si="3"/>
        <v>Grävenwiesbach</v>
      </c>
      <c r="C73" s="301" t="s">
        <v>318</v>
      </c>
      <c r="D73" s="299" t="s">
        <v>122</v>
      </c>
      <c r="E73" s="299" t="s">
        <v>321</v>
      </c>
    </row>
    <row r="74" spans="1:6">
      <c r="A74" s="305">
        <v>434005</v>
      </c>
      <c r="B74" s="299" t="str">
        <f t="shared" si="3"/>
        <v xml:space="preserve">Königstein </v>
      </c>
      <c r="C74" s="301" t="s">
        <v>318</v>
      </c>
      <c r="D74" s="299" t="s">
        <v>122</v>
      </c>
      <c r="E74" s="299" t="s">
        <v>671</v>
      </c>
    </row>
    <row r="75" spans="1:6">
      <c r="A75" s="305">
        <v>434006</v>
      </c>
      <c r="B75" s="299" t="str">
        <f t="shared" si="3"/>
        <v xml:space="preserve">Kronberg </v>
      </c>
      <c r="C75" s="301" t="s">
        <v>318</v>
      </c>
      <c r="D75" s="299" t="s">
        <v>122</v>
      </c>
      <c r="E75" s="299" t="s">
        <v>672</v>
      </c>
    </row>
    <row r="76" spans="1:6">
      <c r="A76" s="305">
        <v>434007</v>
      </c>
      <c r="B76" s="299" t="str">
        <f t="shared" si="3"/>
        <v>Neu-Anspach</v>
      </c>
      <c r="C76" s="301" t="s">
        <v>318</v>
      </c>
      <c r="D76" s="299" t="s">
        <v>122</v>
      </c>
      <c r="E76" s="299" t="s">
        <v>322</v>
      </c>
    </row>
    <row r="77" spans="1:6">
      <c r="A77" s="305">
        <v>434008</v>
      </c>
      <c r="B77" s="299" t="str">
        <f t="shared" si="3"/>
        <v xml:space="preserve">Oberursel </v>
      </c>
      <c r="C77" s="301" t="s">
        <v>318</v>
      </c>
      <c r="D77" s="299" t="s">
        <v>122</v>
      </c>
      <c r="E77" s="299" t="s">
        <v>673</v>
      </c>
    </row>
    <row r="78" spans="1:6">
      <c r="A78" s="305">
        <v>434009</v>
      </c>
      <c r="B78" s="299" t="str">
        <f t="shared" si="3"/>
        <v>Schmitten</v>
      </c>
      <c r="C78" s="301" t="s">
        <v>318</v>
      </c>
      <c r="D78" s="299" t="s">
        <v>122</v>
      </c>
      <c r="E78" s="299" t="s">
        <v>323</v>
      </c>
    </row>
    <row r="79" spans="1:6">
      <c r="A79" s="305">
        <v>434010</v>
      </c>
      <c r="B79" s="299" t="str">
        <f t="shared" si="3"/>
        <v>Steinbach</v>
      </c>
      <c r="C79" s="301" t="s">
        <v>318</v>
      </c>
      <c r="D79" s="299" t="s">
        <v>122</v>
      </c>
      <c r="E79" s="299" t="s">
        <v>674</v>
      </c>
    </row>
    <row r="80" spans="1:6">
      <c r="A80" s="305">
        <v>434011</v>
      </c>
      <c r="B80" s="299" t="str">
        <f t="shared" si="3"/>
        <v>Usingen</v>
      </c>
      <c r="C80" s="301" t="s">
        <v>318</v>
      </c>
      <c r="D80" s="299" t="s">
        <v>122</v>
      </c>
      <c r="E80" s="299" t="s">
        <v>324</v>
      </c>
    </row>
    <row r="81" spans="1:5">
      <c r="A81" s="305">
        <v>434012</v>
      </c>
      <c r="B81" s="299" t="str">
        <f t="shared" si="3"/>
        <v>Wehrheim</v>
      </c>
      <c r="C81" s="301" t="s">
        <v>318</v>
      </c>
      <c r="D81" s="299" t="s">
        <v>122</v>
      </c>
      <c r="E81" s="299" t="s">
        <v>325</v>
      </c>
    </row>
    <row r="82" spans="1:5">
      <c r="A82" s="305">
        <v>434013</v>
      </c>
      <c r="B82" s="299" t="str">
        <f t="shared" si="3"/>
        <v>Weilrod</v>
      </c>
      <c r="C82" s="301" t="s">
        <v>318</v>
      </c>
      <c r="D82" s="299" t="s">
        <v>122</v>
      </c>
      <c r="E82" s="299" t="s">
        <v>326</v>
      </c>
    </row>
    <row r="83" spans="1:5">
      <c r="A83" s="307">
        <v>435000</v>
      </c>
      <c r="B83" s="299"/>
      <c r="C83" s="302" t="s">
        <v>157</v>
      </c>
      <c r="D83" s="299" t="s">
        <v>122</v>
      </c>
    </row>
    <row r="84" spans="1:5">
      <c r="A84" s="305">
        <v>435001</v>
      </c>
      <c r="B84" s="299" t="str">
        <f t="shared" ref="B84:B112" si="4">E84</f>
        <v>Bad Orb</v>
      </c>
      <c r="C84" s="301" t="s">
        <v>328</v>
      </c>
      <c r="D84" s="299" t="s">
        <v>122</v>
      </c>
      <c r="E84" s="299" t="s">
        <v>327</v>
      </c>
    </row>
    <row r="85" spans="1:5">
      <c r="A85" s="305">
        <v>435002</v>
      </c>
      <c r="B85" s="299" t="str">
        <f t="shared" si="4"/>
        <v>Bad Soden-Salmünster</v>
      </c>
      <c r="C85" s="301" t="s">
        <v>328</v>
      </c>
      <c r="D85" s="299" t="s">
        <v>122</v>
      </c>
      <c r="E85" s="299" t="s">
        <v>329</v>
      </c>
    </row>
    <row r="86" spans="1:5">
      <c r="A86" s="305">
        <v>435003</v>
      </c>
      <c r="B86" s="299" t="str">
        <f t="shared" si="4"/>
        <v>Biebergemünd</v>
      </c>
      <c r="C86" s="301" t="s">
        <v>328</v>
      </c>
      <c r="D86" s="299" t="s">
        <v>122</v>
      </c>
      <c r="E86" s="299" t="s">
        <v>330</v>
      </c>
    </row>
    <row r="87" spans="1:5">
      <c r="A87" s="305">
        <v>435004</v>
      </c>
      <c r="B87" s="299" t="str">
        <f t="shared" si="4"/>
        <v>Birstein</v>
      </c>
      <c r="C87" s="301" t="s">
        <v>328</v>
      </c>
      <c r="D87" s="299" t="s">
        <v>122</v>
      </c>
      <c r="E87" s="299" t="s">
        <v>331</v>
      </c>
    </row>
    <row r="88" spans="1:5">
      <c r="A88" s="305">
        <v>435005</v>
      </c>
      <c r="B88" s="299" t="str">
        <f t="shared" si="4"/>
        <v>Brachttal</v>
      </c>
      <c r="C88" s="301" t="s">
        <v>328</v>
      </c>
      <c r="D88" s="299" t="s">
        <v>122</v>
      </c>
      <c r="E88" s="299" t="s">
        <v>332</v>
      </c>
    </row>
    <row r="89" spans="1:5">
      <c r="A89" s="305">
        <v>435006</v>
      </c>
      <c r="B89" s="299" t="str">
        <f t="shared" si="4"/>
        <v>Bruchköbel</v>
      </c>
      <c r="C89" s="301" t="s">
        <v>328</v>
      </c>
      <c r="D89" s="299" t="s">
        <v>122</v>
      </c>
      <c r="E89" s="299" t="s">
        <v>333</v>
      </c>
    </row>
    <row r="90" spans="1:5">
      <c r="A90" s="305">
        <v>435007</v>
      </c>
      <c r="B90" s="299" t="str">
        <f t="shared" si="4"/>
        <v>Erlensee</v>
      </c>
      <c r="C90" s="301" t="s">
        <v>328</v>
      </c>
      <c r="D90" s="299" t="s">
        <v>122</v>
      </c>
      <c r="E90" s="299" t="s">
        <v>334</v>
      </c>
    </row>
    <row r="91" spans="1:5">
      <c r="A91" s="305">
        <v>435008</v>
      </c>
      <c r="B91" s="299" t="str">
        <f t="shared" si="4"/>
        <v>Flörsbachtal</v>
      </c>
      <c r="C91" s="301" t="s">
        <v>328</v>
      </c>
      <c r="D91" s="299" t="s">
        <v>122</v>
      </c>
      <c r="E91" s="299" t="s">
        <v>335</v>
      </c>
    </row>
    <row r="92" spans="1:5">
      <c r="A92" s="305">
        <v>435009</v>
      </c>
      <c r="B92" s="299" t="str">
        <f t="shared" si="4"/>
        <v>Freigericht</v>
      </c>
      <c r="C92" s="301" t="s">
        <v>328</v>
      </c>
      <c r="D92" s="299" t="s">
        <v>122</v>
      </c>
      <c r="E92" s="299" t="s">
        <v>336</v>
      </c>
    </row>
    <row r="93" spans="1:5">
      <c r="A93" s="305">
        <v>435010</v>
      </c>
      <c r="B93" s="299" t="str">
        <f t="shared" si="4"/>
        <v>Gelnhausen</v>
      </c>
      <c r="C93" s="301" t="s">
        <v>328</v>
      </c>
      <c r="D93" s="299" t="s">
        <v>122</v>
      </c>
      <c r="E93" s="299" t="s">
        <v>337</v>
      </c>
    </row>
    <row r="94" spans="1:5">
      <c r="A94" s="305">
        <v>435011</v>
      </c>
      <c r="B94" s="299" t="str">
        <f t="shared" si="4"/>
        <v>Großkrotzenburg</v>
      </c>
      <c r="C94" s="301" t="s">
        <v>328</v>
      </c>
      <c r="D94" s="299" t="s">
        <v>122</v>
      </c>
      <c r="E94" s="299" t="s">
        <v>338</v>
      </c>
    </row>
    <row r="95" spans="1:5">
      <c r="A95" s="305">
        <v>435012</v>
      </c>
      <c r="B95" s="299" t="str">
        <f t="shared" si="4"/>
        <v>Gründau</v>
      </c>
      <c r="C95" s="301" t="s">
        <v>328</v>
      </c>
      <c r="D95" s="299" t="s">
        <v>122</v>
      </c>
      <c r="E95" s="299" t="s">
        <v>339</v>
      </c>
    </row>
    <row r="96" spans="1:5">
      <c r="A96" s="305">
        <v>435013</v>
      </c>
      <c r="B96" s="299" t="str">
        <f t="shared" si="4"/>
        <v>Hammersbach</v>
      </c>
      <c r="C96" s="301" t="s">
        <v>328</v>
      </c>
      <c r="D96" s="299" t="s">
        <v>122</v>
      </c>
      <c r="E96" s="299" t="s">
        <v>340</v>
      </c>
    </row>
    <row r="97" spans="1:5">
      <c r="A97" s="305">
        <v>435014</v>
      </c>
      <c r="B97" s="299" t="str">
        <f t="shared" si="4"/>
        <v>Hanau</v>
      </c>
      <c r="C97" s="301" t="s">
        <v>328</v>
      </c>
      <c r="D97" s="299" t="s">
        <v>122</v>
      </c>
      <c r="E97" s="299" t="s">
        <v>341</v>
      </c>
    </row>
    <row r="98" spans="1:5">
      <c r="A98" s="305">
        <v>435015</v>
      </c>
      <c r="B98" s="299" t="str">
        <f t="shared" si="4"/>
        <v>Hasselroth</v>
      </c>
      <c r="C98" s="301" t="s">
        <v>328</v>
      </c>
      <c r="D98" s="299" t="s">
        <v>122</v>
      </c>
      <c r="E98" s="299" t="s">
        <v>342</v>
      </c>
    </row>
    <row r="99" spans="1:5">
      <c r="A99" s="305">
        <v>435016</v>
      </c>
      <c r="B99" s="299" t="str">
        <f t="shared" si="4"/>
        <v>Jossgrund</v>
      </c>
      <c r="C99" s="301" t="s">
        <v>328</v>
      </c>
      <c r="D99" s="299" t="s">
        <v>122</v>
      </c>
      <c r="E99" s="299" t="s">
        <v>343</v>
      </c>
    </row>
    <row r="100" spans="1:5">
      <c r="A100" s="305">
        <v>435017</v>
      </c>
      <c r="B100" s="299" t="str">
        <f t="shared" si="4"/>
        <v>Langenselbold</v>
      </c>
      <c r="C100" s="301" t="s">
        <v>328</v>
      </c>
      <c r="D100" s="299" t="s">
        <v>122</v>
      </c>
      <c r="E100" s="299" t="s">
        <v>344</v>
      </c>
    </row>
    <row r="101" spans="1:5">
      <c r="A101" s="305">
        <v>435018</v>
      </c>
      <c r="B101" s="299" t="str">
        <f t="shared" si="4"/>
        <v>Linsengericht</v>
      </c>
      <c r="C101" s="301" t="s">
        <v>328</v>
      </c>
      <c r="D101" s="299" t="s">
        <v>122</v>
      </c>
      <c r="E101" s="299" t="s">
        <v>345</v>
      </c>
    </row>
    <row r="102" spans="1:5">
      <c r="A102" s="305">
        <v>435019</v>
      </c>
      <c r="B102" s="299" t="str">
        <f t="shared" si="4"/>
        <v>Maintal</v>
      </c>
      <c r="C102" s="301" t="s">
        <v>328</v>
      </c>
      <c r="D102" s="299" t="s">
        <v>122</v>
      </c>
      <c r="E102" s="299" t="s">
        <v>346</v>
      </c>
    </row>
    <row r="103" spans="1:5">
      <c r="A103" s="305">
        <v>435020</v>
      </c>
      <c r="B103" s="299" t="str">
        <f t="shared" si="4"/>
        <v>Neuberg</v>
      </c>
      <c r="C103" s="301" t="s">
        <v>328</v>
      </c>
      <c r="D103" s="299" t="s">
        <v>122</v>
      </c>
      <c r="E103" s="299" t="s">
        <v>347</v>
      </c>
    </row>
    <row r="104" spans="1:5">
      <c r="A104" s="305">
        <v>435021</v>
      </c>
      <c r="B104" s="299" t="str">
        <f t="shared" si="4"/>
        <v>Nidderau</v>
      </c>
      <c r="C104" s="301" t="s">
        <v>328</v>
      </c>
      <c r="D104" s="299" t="s">
        <v>122</v>
      </c>
      <c r="E104" s="299" t="s">
        <v>348</v>
      </c>
    </row>
    <row r="105" spans="1:5">
      <c r="A105" s="305">
        <v>435022</v>
      </c>
      <c r="B105" s="299" t="str">
        <f t="shared" si="4"/>
        <v>Niederdorfelden</v>
      </c>
      <c r="C105" s="301" t="s">
        <v>328</v>
      </c>
      <c r="D105" s="299" t="s">
        <v>122</v>
      </c>
      <c r="E105" s="299" t="s">
        <v>349</v>
      </c>
    </row>
    <row r="106" spans="1:5">
      <c r="A106" s="305">
        <v>435023</v>
      </c>
      <c r="B106" s="299" t="str">
        <f t="shared" si="4"/>
        <v>Rodenbach</v>
      </c>
      <c r="C106" s="301" t="s">
        <v>328</v>
      </c>
      <c r="D106" s="299" t="s">
        <v>122</v>
      </c>
      <c r="E106" s="299" t="s">
        <v>350</v>
      </c>
    </row>
    <row r="107" spans="1:5">
      <c r="A107" s="305">
        <v>435024</v>
      </c>
      <c r="B107" s="299" t="str">
        <f t="shared" si="4"/>
        <v>Ronneburg</v>
      </c>
      <c r="C107" s="301" t="s">
        <v>328</v>
      </c>
      <c r="D107" s="299" t="s">
        <v>122</v>
      </c>
      <c r="E107" s="299" t="s">
        <v>351</v>
      </c>
    </row>
    <row r="108" spans="1:5">
      <c r="A108" s="305">
        <v>435025</v>
      </c>
      <c r="B108" s="299" t="str">
        <f t="shared" si="4"/>
        <v>Schlüchtern</v>
      </c>
      <c r="C108" s="301" t="s">
        <v>328</v>
      </c>
      <c r="D108" s="299" t="s">
        <v>122</v>
      </c>
      <c r="E108" s="299" t="s">
        <v>352</v>
      </c>
    </row>
    <row r="109" spans="1:5">
      <c r="A109" s="305">
        <v>435026</v>
      </c>
      <c r="B109" s="299" t="str">
        <f t="shared" si="4"/>
        <v>Schöneck</v>
      </c>
      <c r="C109" s="301" t="s">
        <v>328</v>
      </c>
      <c r="D109" s="299" t="s">
        <v>122</v>
      </c>
      <c r="E109" s="299" t="s">
        <v>353</v>
      </c>
    </row>
    <row r="110" spans="1:5">
      <c r="A110" s="305">
        <v>435027</v>
      </c>
      <c r="B110" s="299" t="str">
        <f t="shared" si="4"/>
        <v>Sinntal-Sterbfritz</v>
      </c>
      <c r="C110" s="301" t="s">
        <v>328</v>
      </c>
      <c r="D110" s="299" t="s">
        <v>122</v>
      </c>
      <c r="E110" s="299" t="s">
        <v>354</v>
      </c>
    </row>
    <row r="111" spans="1:5">
      <c r="A111" s="305">
        <v>435028</v>
      </c>
      <c r="B111" s="299" t="str">
        <f t="shared" si="4"/>
        <v>Steinau an der Straße</v>
      </c>
      <c r="C111" s="301" t="s">
        <v>328</v>
      </c>
      <c r="D111" s="299" t="s">
        <v>122</v>
      </c>
      <c r="E111" s="299" t="s">
        <v>355</v>
      </c>
    </row>
    <row r="112" spans="1:5">
      <c r="A112" s="305">
        <v>435029</v>
      </c>
      <c r="B112" s="299" t="str">
        <f t="shared" si="4"/>
        <v>Wächtersbach</v>
      </c>
      <c r="C112" s="301" t="s">
        <v>328</v>
      </c>
      <c r="D112" s="299" t="s">
        <v>122</v>
      </c>
      <c r="E112" s="299" t="s">
        <v>356</v>
      </c>
    </row>
    <row r="113" spans="1:5">
      <c r="A113" s="307">
        <v>436000</v>
      </c>
      <c r="B113" s="299"/>
      <c r="C113" s="302" t="s">
        <v>647</v>
      </c>
      <c r="D113" s="299" t="s">
        <v>122</v>
      </c>
    </row>
    <row r="114" spans="1:5">
      <c r="A114" s="305">
        <v>436001</v>
      </c>
      <c r="B114" s="299" t="str">
        <f t="shared" ref="B114:B125" si="5">E114</f>
        <v>Bad Soden am Taunus</v>
      </c>
      <c r="C114" s="301" t="s">
        <v>158</v>
      </c>
      <c r="D114" s="299" t="s">
        <v>122</v>
      </c>
      <c r="E114" s="299" t="s">
        <v>357</v>
      </c>
    </row>
    <row r="115" spans="1:5">
      <c r="A115" s="305">
        <v>436002</v>
      </c>
      <c r="B115" s="299" t="str">
        <f t="shared" si="5"/>
        <v>Eppstein</v>
      </c>
      <c r="C115" s="301" t="s">
        <v>158</v>
      </c>
      <c r="D115" s="299" t="s">
        <v>122</v>
      </c>
      <c r="E115" s="299" t="s">
        <v>358</v>
      </c>
    </row>
    <row r="116" spans="1:5">
      <c r="A116" s="305">
        <v>436003</v>
      </c>
      <c r="B116" s="299" t="str">
        <f t="shared" si="5"/>
        <v>Eschborn</v>
      </c>
      <c r="C116" s="301" t="s">
        <v>158</v>
      </c>
      <c r="D116" s="299" t="s">
        <v>122</v>
      </c>
      <c r="E116" s="299" t="s">
        <v>359</v>
      </c>
    </row>
    <row r="117" spans="1:5">
      <c r="A117" s="305">
        <v>436004</v>
      </c>
      <c r="B117" s="299" t="str">
        <f t="shared" si="5"/>
        <v>Flörsheim</v>
      </c>
      <c r="C117" s="301" t="s">
        <v>158</v>
      </c>
      <c r="D117" s="299" t="s">
        <v>122</v>
      </c>
      <c r="E117" s="299" t="s">
        <v>675</v>
      </c>
    </row>
    <row r="118" spans="1:5">
      <c r="A118" s="305">
        <v>436005</v>
      </c>
      <c r="B118" s="299" t="str">
        <f t="shared" si="5"/>
        <v>Hattersheim</v>
      </c>
      <c r="C118" s="301" t="s">
        <v>158</v>
      </c>
      <c r="D118" s="299" t="s">
        <v>122</v>
      </c>
      <c r="E118" s="299" t="s">
        <v>676</v>
      </c>
    </row>
    <row r="119" spans="1:5">
      <c r="A119" s="305">
        <v>436006</v>
      </c>
      <c r="B119" s="299" t="str">
        <f t="shared" si="5"/>
        <v>Hochheim</v>
      </c>
      <c r="C119" s="301" t="s">
        <v>158</v>
      </c>
      <c r="D119" s="299" t="s">
        <v>122</v>
      </c>
      <c r="E119" s="299" t="s">
        <v>677</v>
      </c>
    </row>
    <row r="120" spans="1:5">
      <c r="A120" s="305">
        <v>436007</v>
      </c>
      <c r="B120" s="299" t="str">
        <f t="shared" si="5"/>
        <v xml:space="preserve">Hofheim </v>
      </c>
      <c r="C120" s="301" t="s">
        <v>158</v>
      </c>
      <c r="D120" s="299" t="s">
        <v>122</v>
      </c>
      <c r="E120" s="299" t="s">
        <v>678</v>
      </c>
    </row>
    <row r="121" spans="1:5">
      <c r="A121" s="305">
        <v>436008</v>
      </c>
      <c r="B121" s="299" t="str">
        <f t="shared" si="5"/>
        <v xml:space="preserve">Kelkheim </v>
      </c>
      <c r="C121" s="301" t="s">
        <v>158</v>
      </c>
      <c r="D121" s="299" t="s">
        <v>122</v>
      </c>
      <c r="E121" s="299" t="s">
        <v>679</v>
      </c>
    </row>
    <row r="122" spans="1:5">
      <c r="A122" s="305">
        <v>436009</v>
      </c>
      <c r="B122" s="299" t="str">
        <f t="shared" si="5"/>
        <v>Kriftel</v>
      </c>
      <c r="C122" s="301" t="s">
        <v>158</v>
      </c>
      <c r="D122" s="299" t="s">
        <v>122</v>
      </c>
      <c r="E122" s="299" t="s">
        <v>360</v>
      </c>
    </row>
    <row r="123" spans="1:5">
      <c r="A123" s="305">
        <v>436010</v>
      </c>
      <c r="B123" s="299" t="str">
        <f t="shared" si="5"/>
        <v xml:space="preserve">Liederbach </v>
      </c>
      <c r="C123" s="301" t="s">
        <v>158</v>
      </c>
      <c r="D123" s="299" t="s">
        <v>122</v>
      </c>
      <c r="E123" s="299" t="s">
        <v>667</v>
      </c>
    </row>
    <row r="124" spans="1:5">
      <c r="A124" s="305">
        <v>436011</v>
      </c>
      <c r="B124" s="299" t="str">
        <f t="shared" si="5"/>
        <v xml:space="preserve">Schwalbach </v>
      </c>
      <c r="C124" s="301" t="s">
        <v>158</v>
      </c>
      <c r="D124" s="299" t="s">
        <v>122</v>
      </c>
      <c r="E124" s="299" t="s">
        <v>666</v>
      </c>
    </row>
    <row r="125" spans="1:5">
      <c r="A125" s="305">
        <v>436012</v>
      </c>
      <c r="B125" s="299" t="str">
        <f t="shared" si="5"/>
        <v xml:space="preserve">Sulzbach </v>
      </c>
      <c r="C125" s="301" t="s">
        <v>158</v>
      </c>
      <c r="D125" s="299" t="s">
        <v>122</v>
      </c>
      <c r="E125" s="299" t="s">
        <v>665</v>
      </c>
    </row>
    <row r="126" spans="1:5">
      <c r="A126" s="307">
        <v>437000</v>
      </c>
      <c r="B126" s="299"/>
      <c r="C126" s="302" t="s">
        <v>159</v>
      </c>
      <c r="D126" s="299" t="s">
        <v>122</v>
      </c>
    </row>
    <row r="127" spans="1:5">
      <c r="A127" s="305">
        <v>437001</v>
      </c>
      <c r="B127" s="299" t="str">
        <f t="shared" ref="B127:B141" si="6">E127</f>
        <v>Bad König</v>
      </c>
      <c r="C127" s="301" t="s">
        <v>159</v>
      </c>
      <c r="D127" s="299" t="s">
        <v>122</v>
      </c>
      <c r="E127" s="299" t="s">
        <v>361</v>
      </c>
    </row>
    <row r="128" spans="1:5">
      <c r="A128" s="305">
        <v>437002</v>
      </c>
      <c r="B128" s="299" t="str">
        <f t="shared" si="6"/>
        <v>Beerfelden</v>
      </c>
      <c r="C128" s="301" t="s">
        <v>159</v>
      </c>
      <c r="D128" s="299" t="s">
        <v>122</v>
      </c>
      <c r="E128" s="299" t="s">
        <v>362</v>
      </c>
    </row>
    <row r="129" spans="1:5">
      <c r="A129" s="305">
        <v>437003</v>
      </c>
      <c r="B129" s="299" t="str">
        <f t="shared" si="6"/>
        <v>Brensbach</v>
      </c>
      <c r="C129" s="301" t="s">
        <v>159</v>
      </c>
      <c r="D129" s="299" t="s">
        <v>122</v>
      </c>
      <c r="E129" s="299" t="s">
        <v>363</v>
      </c>
    </row>
    <row r="130" spans="1:5">
      <c r="A130" s="305">
        <v>437004</v>
      </c>
      <c r="B130" s="299" t="str">
        <f t="shared" si="6"/>
        <v>Breuberg</v>
      </c>
      <c r="C130" s="301" t="s">
        <v>159</v>
      </c>
      <c r="D130" s="299" t="s">
        <v>122</v>
      </c>
      <c r="E130" s="299" t="s">
        <v>364</v>
      </c>
    </row>
    <row r="131" spans="1:5">
      <c r="A131" s="305">
        <v>437005</v>
      </c>
      <c r="B131" s="299" t="str">
        <f t="shared" si="6"/>
        <v>Brombachtal</v>
      </c>
      <c r="C131" s="301" t="s">
        <v>159</v>
      </c>
      <c r="D131" s="299" t="s">
        <v>122</v>
      </c>
      <c r="E131" s="299" t="s">
        <v>365</v>
      </c>
    </row>
    <row r="132" spans="1:5">
      <c r="A132" s="305">
        <v>437006</v>
      </c>
      <c r="B132" s="299" t="str">
        <f t="shared" si="6"/>
        <v>Erbach</v>
      </c>
      <c r="C132" s="301" t="s">
        <v>159</v>
      </c>
      <c r="D132" s="299" t="s">
        <v>122</v>
      </c>
      <c r="E132" s="299" t="s">
        <v>366</v>
      </c>
    </row>
    <row r="133" spans="1:5">
      <c r="A133" s="305">
        <v>437007</v>
      </c>
      <c r="B133" s="299" t="str">
        <f t="shared" si="6"/>
        <v>Fränkisch-Crumbach</v>
      </c>
      <c r="C133" s="301" t="s">
        <v>159</v>
      </c>
      <c r="D133" s="299" t="s">
        <v>122</v>
      </c>
      <c r="E133" s="299" t="s">
        <v>367</v>
      </c>
    </row>
    <row r="134" spans="1:5">
      <c r="A134" s="305">
        <v>437008</v>
      </c>
      <c r="B134" s="299" t="str">
        <f t="shared" si="6"/>
        <v>Hesseneck</v>
      </c>
      <c r="C134" s="301" t="s">
        <v>159</v>
      </c>
      <c r="D134" s="299" t="s">
        <v>122</v>
      </c>
      <c r="E134" s="299" t="s">
        <v>368</v>
      </c>
    </row>
    <row r="135" spans="1:5">
      <c r="A135" s="305">
        <v>437009</v>
      </c>
      <c r="B135" s="299" t="str">
        <f t="shared" si="6"/>
        <v>Höchst i.Odw.</v>
      </c>
      <c r="C135" s="301" t="s">
        <v>159</v>
      </c>
      <c r="D135" s="299" t="s">
        <v>122</v>
      </c>
      <c r="E135" s="299" t="s">
        <v>369</v>
      </c>
    </row>
    <row r="136" spans="1:5">
      <c r="A136" s="305">
        <v>437010</v>
      </c>
      <c r="B136" s="299" t="str">
        <f t="shared" si="6"/>
        <v>Lützelbach</v>
      </c>
      <c r="C136" s="301" t="s">
        <v>159</v>
      </c>
      <c r="D136" s="299" t="s">
        <v>122</v>
      </c>
      <c r="E136" s="299" t="s">
        <v>370</v>
      </c>
    </row>
    <row r="137" spans="1:5">
      <c r="A137" s="305">
        <v>437011</v>
      </c>
      <c r="B137" s="299" t="str">
        <f t="shared" si="6"/>
        <v>Michelstadt</v>
      </c>
      <c r="C137" s="301" t="s">
        <v>159</v>
      </c>
      <c r="D137" s="299" t="s">
        <v>122</v>
      </c>
      <c r="E137" s="299" t="s">
        <v>371</v>
      </c>
    </row>
    <row r="138" spans="1:5">
      <c r="A138" s="305">
        <v>437012</v>
      </c>
      <c r="B138" s="299" t="str">
        <f t="shared" si="6"/>
        <v>Mossautal</v>
      </c>
      <c r="C138" s="301" t="s">
        <v>159</v>
      </c>
      <c r="D138" s="299" t="s">
        <v>122</v>
      </c>
      <c r="E138" s="299" t="s">
        <v>372</v>
      </c>
    </row>
    <row r="139" spans="1:5">
      <c r="A139" s="305">
        <v>437013</v>
      </c>
      <c r="B139" s="299" t="str">
        <f t="shared" si="6"/>
        <v xml:space="preserve">Reichelsheim </v>
      </c>
      <c r="C139" s="301" t="s">
        <v>159</v>
      </c>
      <c r="D139" s="299" t="s">
        <v>122</v>
      </c>
      <c r="E139" s="299" t="s">
        <v>664</v>
      </c>
    </row>
    <row r="140" spans="1:5">
      <c r="A140" s="305">
        <v>437014</v>
      </c>
      <c r="B140" s="299" t="str">
        <f t="shared" si="6"/>
        <v>Rothenberg</v>
      </c>
      <c r="C140" s="301" t="s">
        <v>159</v>
      </c>
      <c r="D140" s="299" t="s">
        <v>122</v>
      </c>
      <c r="E140" s="299" t="s">
        <v>373</v>
      </c>
    </row>
    <row r="141" spans="1:5">
      <c r="A141" s="305">
        <v>437015</v>
      </c>
      <c r="B141" s="299" t="str">
        <f t="shared" si="6"/>
        <v>Sensbachtal</v>
      </c>
      <c r="C141" s="301" t="s">
        <v>159</v>
      </c>
      <c r="D141" s="299" t="s">
        <v>122</v>
      </c>
      <c r="E141" s="299" t="s">
        <v>374</v>
      </c>
    </row>
    <row r="142" spans="1:5">
      <c r="A142" s="305">
        <v>437016</v>
      </c>
      <c r="B142" s="299" t="s">
        <v>756</v>
      </c>
      <c r="C142" s="301" t="s">
        <v>159</v>
      </c>
      <c r="D142" s="299" t="s">
        <v>122</v>
      </c>
      <c r="E142" s="299" t="s">
        <v>756</v>
      </c>
    </row>
    <row r="143" spans="1:5">
      <c r="A143" s="307">
        <v>438000</v>
      </c>
      <c r="B143" s="299"/>
      <c r="C143" s="302" t="s">
        <v>166</v>
      </c>
      <c r="D143" s="299" t="s">
        <v>122</v>
      </c>
    </row>
    <row r="144" spans="1:5">
      <c r="A144" s="305">
        <v>438001</v>
      </c>
      <c r="B144" s="299" t="str">
        <f t="shared" ref="B144:B156" si="7">E144</f>
        <v>Dietzenbach</v>
      </c>
      <c r="C144" s="301" t="s">
        <v>166</v>
      </c>
      <c r="D144" s="299" t="s">
        <v>122</v>
      </c>
      <c r="E144" s="299" t="s">
        <v>375</v>
      </c>
    </row>
    <row r="145" spans="1:5">
      <c r="A145" s="305">
        <v>438002</v>
      </c>
      <c r="B145" s="299" t="str">
        <f t="shared" si="7"/>
        <v>Dreieich</v>
      </c>
      <c r="C145" s="301" t="s">
        <v>166</v>
      </c>
      <c r="D145" s="299" t="s">
        <v>122</v>
      </c>
      <c r="E145" s="299" t="s">
        <v>376</v>
      </c>
    </row>
    <row r="146" spans="1:5">
      <c r="A146" s="305">
        <v>438003</v>
      </c>
      <c r="B146" s="299" t="str">
        <f t="shared" si="7"/>
        <v>Egelsbach</v>
      </c>
      <c r="C146" s="301" t="s">
        <v>166</v>
      </c>
      <c r="D146" s="299" t="s">
        <v>122</v>
      </c>
      <c r="E146" s="299" t="s">
        <v>377</v>
      </c>
    </row>
    <row r="147" spans="1:5">
      <c r="A147" s="305">
        <v>438004</v>
      </c>
      <c r="B147" s="299" t="str">
        <f t="shared" si="7"/>
        <v>Hainburg</v>
      </c>
      <c r="C147" s="301" t="s">
        <v>166</v>
      </c>
      <c r="D147" s="299" t="s">
        <v>122</v>
      </c>
      <c r="E147" s="299" t="s">
        <v>378</v>
      </c>
    </row>
    <row r="148" spans="1:5">
      <c r="A148" s="305">
        <v>438005</v>
      </c>
      <c r="B148" s="299" t="str">
        <f t="shared" si="7"/>
        <v>Heusenstamm</v>
      </c>
      <c r="C148" s="301" t="s">
        <v>166</v>
      </c>
      <c r="D148" s="299" t="s">
        <v>122</v>
      </c>
      <c r="E148" s="299" t="s">
        <v>379</v>
      </c>
    </row>
    <row r="149" spans="1:5">
      <c r="A149" s="305">
        <v>438006</v>
      </c>
      <c r="B149" s="299" t="str">
        <f t="shared" si="7"/>
        <v xml:space="preserve">Langen </v>
      </c>
      <c r="C149" s="301" t="s">
        <v>166</v>
      </c>
      <c r="D149" s="299" t="s">
        <v>122</v>
      </c>
      <c r="E149" s="299" t="s">
        <v>680</v>
      </c>
    </row>
    <row r="150" spans="1:5">
      <c r="A150" s="305">
        <v>438007</v>
      </c>
      <c r="B150" s="299" t="str">
        <f t="shared" si="7"/>
        <v>Mainhausen</v>
      </c>
      <c r="C150" s="301" t="s">
        <v>166</v>
      </c>
      <c r="D150" s="299" t="s">
        <v>122</v>
      </c>
      <c r="E150" s="299" t="s">
        <v>380</v>
      </c>
    </row>
    <row r="151" spans="1:5">
      <c r="A151" s="305">
        <v>438008</v>
      </c>
      <c r="B151" s="299" t="str">
        <f t="shared" si="7"/>
        <v xml:space="preserve">Mühlheim </v>
      </c>
      <c r="C151" s="301" t="s">
        <v>166</v>
      </c>
      <c r="D151" s="299" t="s">
        <v>122</v>
      </c>
      <c r="E151" s="299" t="s">
        <v>663</v>
      </c>
    </row>
    <row r="152" spans="1:5">
      <c r="A152" s="305">
        <v>438009</v>
      </c>
      <c r="B152" s="299" t="str">
        <f t="shared" si="7"/>
        <v>Neu-Isenburg</v>
      </c>
      <c r="C152" s="301" t="s">
        <v>166</v>
      </c>
      <c r="D152" s="299" t="s">
        <v>122</v>
      </c>
      <c r="E152" s="299" t="s">
        <v>381</v>
      </c>
    </row>
    <row r="153" spans="1:5">
      <c r="A153" s="305">
        <v>438010</v>
      </c>
      <c r="B153" s="299" t="str">
        <f t="shared" si="7"/>
        <v>Obertshausen</v>
      </c>
      <c r="C153" s="301" t="s">
        <v>166</v>
      </c>
      <c r="D153" s="299" t="s">
        <v>122</v>
      </c>
      <c r="E153" s="299" t="s">
        <v>382</v>
      </c>
    </row>
    <row r="154" spans="1:5">
      <c r="A154" s="305">
        <v>438011</v>
      </c>
      <c r="B154" s="299" t="str">
        <f t="shared" si="7"/>
        <v>Rodgau</v>
      </c>
      <c r="C154" s="301" t="s">
        <v>166</v>
      </c>
      <c r="D154" s="299" t="s">
        <v>122</v>
      </c>
      <c r="E154" s="299" t="s">
        <v>383</v>
      </c>
    </row>
    <row r="155" spans="1:5">
      <c r="A155" s="305">
        <v>438012</v>
      </c>
      <c r="B155" s="299" t="str">
        <f t="shared" si="7"/>
        <v>Rödermark</v>
      </c>
      <c r="C155" s="301" t="s">
        <v>166</v>
      </c>
      <c r="D155" s="299" t="s">
        <v>122</v>
      </c>
      <c r="E155" s="299" t="s">
        <v>384</v>
      </c>
    </row>
    <row r="156" spans="1:5">
      <c r="A156" s="305">
        <v>438013</v>
      </c>
      <c r="B156" s="299" t="str">
        <f t="shared" si="7"/>
        <v>Seligenstadt</v>
      </c>
      <c r="C156" s="301" t="s">
        <v>166</v>
      </c>
      <c r="D156" s="299" t="s">
        <v>122</v>
      </c>
      <c r="E156" s="299" t="s">
        <v>385</v>
      </c>
    </row>
    <row r="157" spans="1:5">
      <c r="A157" s="307">
        <v>439000</v>
      </c>
      <c r="B157" s="299"/>
      <c r="C157" s="302" t="s">
        <v>160</v>
      </c>
      <c r="D157" s="299" t="s">
        <v>122</v>
      </c>
    </row>
    <row r="158" spans="1:5">
      <c r="A158" s="305">
        <v>439001</v>
      </c>
      <c r="B158" s="299" t="str">
        <f t="shared" ref="B158:B174" si="8">E158</f>
        <v>Aarbergen</v>
      </c>
      <c r="C158" s="301" t="s">
        <v>160</v>
      </c>
      <c r="D158" s="299" t="s">
        <v>122</v>
      </c>
      <c r="E158" s="299" t="s">
        <v>386</v>
      </c>
    </row>
    <row r="159" spans="1:5">
      <c r="A159" s="305">
        <v>439002</v>
      </c>
      <c r="B159" s="299" t="str">
        <f t="shared" si="8"/>
        <v>Bad Schwalbach</v>
      </c>
      <c r="C159" s="301" t="s">
        <v>160</v>
      </c>
      <c r="D159" s="299" t="s">
        <v>122</v>
      </c>
      <c r="E159" s="299" t="s">
        <v>387</v>
      </c>
    </row>
    <row r="160" spans="1:5">
      <c r="A160" s="305">
        <v>439003</v>
      </c>
      <c r="B160" s="299" t="str">
        <f t="shared" si="8"/>
        <v xml:space="preserve">Eltville </v>
      </c>
      <c r="C160" s="301" t="s">
        <v>160</v>
      </c>
      <c r="D160" s="299" t="s">
        <v>122</v>
      </c>
      <c r="E160" s="299" t="s">
        <v>681</v>
      </c>
    </row>
    <row r="161" spans="1:5">
      <c r="A161" s="305">
        <v>439004</v>
      </c>
      <c r="B161" s="299" t="str">
        <f t="shared" si="8"/>
        <v>Geisenheim</v>
      </c>
      <c r="C161" s="301" t="s">
        <v>160</v>
      </c>
      <c r="D161" s="299" t="s">
        <v>122</v>
      </c>
      <c r="E161" s="299" t="s">
        <v>388</v>
      </c>
    </row>
    <row r="162" spans="1:5">
      <c r="A162" s="305">
        <v>439005</v>
      </c>
      <c r="B162" s="299" t="str">
        <f t="shared" si="8"/>
        <v>Heidenrod</v>
      </c>
      <c r="C162" s="301" t="s">
        <v>160</v>
      </c>
      <c r="D162" s="299" t="s">
        <v>122</v>
      </c>
      <c r="E162" s="299" t="s">
        <v>389</v>
      </c>
    </row>
    <row r="163" spans="1:5">
      <c r="A163" s="305">
        <v>439006</v>
      </c>
      <c r="B163" s="299" t="str">
        <f t="shared" si="8"/>
        <v>Hohenstein</v>
      </c>
      <c r="C163" s="301" t="s">
        <v>160</v>
      </c>
      <c r="D163" s="299" t="s">
        <v>122</v>
      </c>
      <c r="E163" s="299" t="s">
        <v>390</v>
      </c>
    </row>
    <row r="164" spans="1:5">
      <c r="A164" s="305">
        <v>439007</v>
      </c>
      <c r="B164" s="299" t="str">
        <f t="shared" si="8"/>
        <v>Hünstetten</v>
      </c>
      <c r="C164" s="301" t="s">
        <v>160</v>
      </c>
      <c r="D164" s="299" t="s">
        <v>122</v>
      </c>
      <c r="E164" s="299" t="s">
        <v>391</v>
      </c>
    </row>
    <row r="165" spans="1:5">
      <c r="A165" s="305">
        <v>439008</v>
      </c>
      <c r="B165" s="299" t="str">
        <f t="shared" si="8"/>
        <v>Idstein</v>
      </c>
      <c r="C165" s="301" t="s">
        <v>160</v>
      </c>
      <c r="D165" s="299" t="s">
        <v>122</v>
      </c>
      <c r="E165" s="299" t="s">
        <v>392</v>
      </c>
    </row>
    <row r="166" spans="1:5">
      <c r="A166" s="305">
        <v>439009</v>
      </c>
      <c r="B166" s="299" t="str">
        <f t="shared" si="8"/>
        <v>Kiedrich</v>
      </c>
      <c r="C166" s="301" t="s">
        <v>160</v>
      </c>
      <c r="D166" s="299" t="s">
        <v>122</v>
      </c>
      <c r="E166" s="299" t="s">
        <v>393</v>
      </c>
    </row>
    <row r="167" spans="1:5">
      <c r="A167" s="305">
        <v>439010</v>
      </c>
      <c r="B167" s="299" t="str">
        <f t="shared" si="8"/>
        <v>Lorch</v>
      </c>
      <c r="C167" s="301" t="s">
        <v>160</v>
      </c>
      <c r="D167" s="299" t="s">
        <v>122</v>
      </c>
      <c r="E167" s="299" t="s">
        <v>394</v>
      </c>
    </row>
    <row r="168" spans="1:5">
      <c r="A168" s="305">
        <v>439011</v>
      </c>
      <c r="B168" s="299" t="str">
        <f t="shared" si="8"/>
        <v>Niedernhausen</v>
      </c>
      <c r="C168" s="301" t="s">
        <v>160</v>
      </c>
      <c r="D168" s="299" t="s">
        <v>122</v>
      </c>
      <c r="E168" s="299" t="s">
        <v>395</v>
      </c>
    </row>
    <row r="169" spans="1:5">
      <c r="A169" s="305">
        <v>439012</v>
      </c>
      <c r="B169" s="299" t="str">
        <f t="shared" si="8"/>
        <v>Oestrich-Winkel</v>
      </c>
      <c r="C169" s="301" t="s">
        <v>160</v>
      </c>
      <c r="D169" s="299" t="s">
        <v>122</v>
      </c>
      <c r="E169" s="299" t="s">
        <v>396</v>
      </c>
    </row>
    <row r="170" spans="1:5">
      <c r="A170" s="305">
        <v>439013</v>
      </c>
      <c r="B170" s="299" t="str">
        <f t="shared" si="8"/>
        <v>Rüdesheim</v>
      </c>
      <c r="C170" s="301" t="s">
        <v>160</v>
      </c>
      <c r="D170" s="299" t="s">
        <v>122</v>
      </c>
      <c r="E170" s="299" t="s">
        <v>662</v>
      </c>
    </row>
    <row r="171" spans="1:5">
      <c r="A171" s="305">
        <v>439014</v>
      </c>
      <c r="B171" s="299" t="str">
        <f t="shared" si="8"/>
        <v>Schlangenbad</v>
      </c>
      <c r="C171" s="301" t="s">
        <v>160</v>
      </c>
      <c r="D171" s="299" t="s">
        <v>122</v>
      </c>
      <c r="E171" s="299" t="s">
        <v>397</v>
      </c>
    </row>
    <row r="172" spans="1:5">
      <c r="A172" s="305">
        <v>439015</v>
      </c>
      <c r="B172" s="299" t="str">
        <f t="shared" si="8"/>
        <v>Taunusstein</v>
      </c>
      <c r="C172" s="301" t="s">
        <v>160</v>
      </c>
      <c r="D172" s="299" t="s">
        <v>122</v>
      </c>
      <c r="E172" s="299" t="s">
        <v>398</v>
      </c>
    </row>
    <row r="173" spans="1:5">
      <c r="A173" s="305">
        <v>439016</v>
      </c>
      <c r="B173" s="299" t="str">
        <f t="shared" si="8"/>
        <v>Waldems</v>
      </c>
      <c r="C173" s="301" t="s">
        <v>160</v>
      </c>
      <c r="D173" s="299" t="s">
        <v>122</v>
      </c>
      <c r="E173" s="299" t="s">
        <v>399</v>
      </c>
    </row>
    <row r="174" spans="1:5">
      <c r="A174" s="305">
        <v>439017</v>
      </c>
      <c r="B174" s="299" t="str">
        <f t="shared" si="8"/>
        <v>Walluf</v>
      </c>
      <c r="C174" s="301" t="s">
        <v>160</v>
      </c>
      <c r="D174" s="299" t="s">
        <v>122</v>
      </c>
      <c r="E174" s="299" t="s">
        <v>400</v>
      </c>
    </row>
    <row r="175" spans="1:5">
      <c r="A175" s="307">
        <v>440000</v>
      </c>
      <c r="B175" s="299"/>
      <c r="C175" s="302" t="s">
        <v>161</v>
      </c>
      <c r="D175" s="299" t="s">
        <v>122</v>
      </c>
    </row>
    <row r="176" spans="1:5">
      <c r="A176" s="305">
        <v>440001</v>
      </c>
      <c r="B176" s="299" t="str">
        <f t="shared" ref="B176:B200" si="9">E176</f>
        <v>Altenstadt</v>
      </c>
      <c r="C176" s="301" t="s">
        <v>161</v>
      </c>
      <c r="D176" s="299" t="s">
        <v>122</v>
      </c>
      <c r="E176" s="299" t="s">
        <v>401</v>
      </c>
    </row>
    <row r="177" spans="1:6">
      <c r="A177" s="305">
        <v>440002</v>
      </c>
      <c r="B177" s="299" t="str">
        <f t="shared" si="9"/>
        <v>Bad Nauheim</v>
      </c>
      <c r="C177" s="301" t="s">
        <v>161</v>
      </c>
      <c r="D177" s="299" t="s">
        <v>122</v>
      </c>
      <c r="E177" s="299" t="s">
        <v>402</v>
      </c>
    </row>
    <row r="178" spans="1:6">
      <c r="A178" s="305">
        <v>440003</v>
      </c>
      <c r="B178" s="299" t="str">
        <f t="shared" si="9"/>
        <v>Bad Vilbel</v>
      </c>
      <c r="C178" s="301" t="s">
        <v>161</v>
      </c>
      <c r="D178" s="299" t="s">
        <v>122</v>
      </c>
      <c r="E178" s="299" t="s">
        <v>403</v>
      </c>
    </row>
    <row r="179" spans="1:6">
      <c r="A179" s="305">
        <v>440004</v>
      </c>
      <c r="B179" s="299" t="str">
        <f t="shared" si="9"/>
        <v>Büdingen</v>
      </c>
      <c r="C179" s="301" t="s">
        <v>161</v>
      </c>
      <c r="D179" s="299" t="s">
        <v>122</v>
      </c>
      <c r="E179" s="299" t="s">
        <v>404</v>
      </c>
    </row>
    <row r="180" spans="1:6">
      <c r="A180" s="305">
        <v>440005</v>
      </c>
      <c r="B180" s="299" t="str">
        <f t="shared" si="9"/>
        <v>Butzbach</v>
      </c>
      <c r="C180" s="301" t="s">
        <v>161</v>
      </c>
      <c r="D180" s="299" t="s">
        <v>122</v>
      </c>
      <c r="E180" s="299" t="s">
        <v>405</v>
      </c>
    </row>
    <row r="181" spans="1:6" s="300" customFormat="1">
      <c r="A181" s="305">
        <v>440006</v>
      </c>
      <c r="B181" s="299" t="str">
        <f t="shared" si="9"/>
        <v>Echzell</v>
      </c>
      <c r="C181" s="301" t="s">
        <v>161</v>
      </c>
      <c r="D181" s="299" t="s">
        <v>122</v>
      </c>
      <c r="E181" s="299" t="s">
        <v>406</v>
      </c>
      <c r="F181" s="298"/>
    </row>
    <row r="182" spans="1:6" s="300" customFormat="1">
      <c r="A182" s="305">
        <v>440007</v>
      </c>
      <c r="B182" s="299" t="str">
        <f t="shared" si="9"/>
        <v>Florstadt</v>
      </c>
      <c r="C182" s="301" t="s">
        <v>161</v>
      </c>
      <c r="D182" s="299" t="s">
        <v>122</v>
      </c>
      <c r="E182" s="299" t="s">
        <v>407</v>
      </c>
      <c r="F182" s="298"/>
    </row>
    <row r="183" spans="1:6" s="300" customFormat="1">
      <c r="A183" s="305">
        <v>440008</v>
      </c>
      <c r="B183" s="299" t="str">
        <f t="shared" si="9"/>
        <v xml:space="preserve">Friedberg </v>
      </c>
      <c r="C183" s="301" t="s">
        <v>161</v>
      </c>
      <c r="D183" s="299" t="s">
        <v>122</v>
      </c>
      <c r="E183" s="299" t="s">
        <v>661</v>
      </c>
      <c r="F183" s="298"/>
    </row>
    <row r="184" spans="1:6">
      <c r="A184" s="305">
        <v>440009</v>
      </c>
      <c r="B184" s="299" t="str">
        <f t="shared" si="9"/>
        <v>Gedern</v>
      </c>
      <c r="C184" s="301" t="s">
        <v>161</v>
      </c>
      <c r="D184" s="299" t="s">
        <v>122</v>
      </c>
      <c r="E184" s="299" t="s">
        <v>408</v>
      </c>
    </row>
    <row r="185" spans="1:6">
      <c r="A185" s="305">
        <v>440010</v>
      </c>
      <c r="B185" s="299" t="str">
        <f t="shared" si="9"/>
        <v>Glauburg</v>
      </c>
      <c r="C185" s="301" t="s">
        <v>161</v>
      </c>
      <c r="D185" s="299" t="s">
        <v>122</v>
      </c>
      <c r="E185" s="299" t="s">
        <v>409</v>
      </c>
    </row>
    <row r="186" spans="1:6">
      <c r="A186" s="305">
        <v>440011</v>
      </c>
      <c r="B186" s="299" t="str">
        <f t="shared" si="9"/>
        <v>Hirzenhain</v>
      </c>
      <c r="C186" s="301" t="s">
        <v>161</v>
      </c>
      <c r="D186" s="299" t="s">
        <v>122</v>
      </c>
      <c r="E186" s="299" t="s">
        <v>410</v>
      </c>
    </row>
    <row r="187" spans="1:6">
      <c r="A187" s="305">
        <v>440012</v>
      </c>
      <c r="B187" s="299" t="str">
        <f t="shared" si="9"/>
        <v>Karben</v>
      </c>
      <c r="C187" s="301" t="s">
        <v>161</v>
      </c>
      <c r="D187" s="299" t="s">
        <v>122</v>
      </c>
      <c r="E187" s="299" t="s">
        <v>411</v>
      </c>
    </row>
    <row r="188" spans="1:6">
      <c r="A188" s="305">
        <v>440013</v>
      </c>
      <c r="B188" s="299" t="str">
        <f t="shared" si="9"/>
        <v>Kefenrod</v>
      </c>
      <c r="C188" s="301" t="s">
        <v>161</v>
      </c>
      <c r="D188" s="299" t="s">
        <v>122</v>
      </c>
      <c r="E188" s="299" t="s">
        <v>412</v>
      </c>
    </row>
    <row r="189" spans="1:6">
      <c r="A189" s="305">
        <v>440014</v>
      </c>
      <c r="B189" s="299" t="str">
        <f t="shared" si="9"/>
        <v>Limeshain</v>
      </c>
      <c r="C189" s="301" t="s">
        <v>161</v>
      </c>
      <c r="D189" s="299" t="s">
        <v>122</v>
      </c>
      <c r="E189" s="299" t="s">
        <v>413</v>
      </c>
    </row>
    <row r="190" spans="1:6">
      <c r="A190" s="306">
        <v>440015</v>
      </c>
      <c r="B190" s="299" t="str">
        <f t="shared" si="9"/>
        <v>Münzenberg</v>
      </c>
      <c r="C190" s="300" t="s">
        <v>161</v>
      </c>
      <c r="D190" s="300" t="s">
        <v>122</v>
      </c>
      <c r="E190" s="300" t="s">
        <v>414</v>
      </c>
      <c r="F190" s="300"/>
    </row>
    <row r="191" spans="1:6">
      <c r="A191" s="306">
        <v>440016</v>
      </c>
      <c r="B191" s="299" t="str">
        <f t="shared" si="9"/>
        <v>Nidda</v>
      </c>
      <c r="C191" s="300" t="s">
        <v>161</v>
      </c>
      <c r="D191" s="300" t="s">
        <v>122</v>
      </c>
      <c r="E191" s="300" t="s">
        <v>415</v>
      </c>
      <c r="F191" s="300"/>
    </row>
    <row r="192" spans="1:6">
      <c r="A192" s="306">
        <v>440017</v>
      </c>
      <c r="B192" s="299" t="str">
        <f t="shared" si="9"/>
        <v>Niddatal</v>
      </c>
      <c r="C192" s="300" t="s">
        <v>161</v>
      </c>
      <c r="D192" s="300" t="s">
        <v>122</v>
      </c>
      <c r="E192" s="300" t="s">
        <v>416</v>
      </c>
      <c r="F192" s="300"/>
    </row>
    <row r="193" spans="1:5">
      <c r="A193" s="305">
        <v>440018</v>
      </c>
      <c r="B193" s="299" t="str">
        <f t="shared" si="9"/>
        <v>Ober-Mörlen</v>
      </c>
      <c r="C193" s="301" t="s">
        <v>161</v>
      </c>
      <c r="D193" s="299" t="s">
        <v>122</v>
      </c>
      <c r="E193" s="299" t="s">
        <v>417</v>
      </c>
    </row>
    <row r="194" spans="1:5">
      <c r="A194" s="305">
        <v>440019</v>
      </c>
      <c r="B194" s="299" t="str">
        <f t="shared" si="9"/>
        <v>Ortenberg</v>
      </c>
      <c r="C194" s="301" t="s">
        <v>161</v>
      </c>
      <c r="D194" s="299" t="s">
        <v>122</v>
      </c>
      <c r="E194" s="299" t="s">
        <v>418</v>
      </c>
    </row>
    <row r="195" spans="1:5">
      <c r="A195" s="305">
        <v>440020</v>
      </c>
      <c r="B195" s="299" t="str">
        <f t="shared" si="9"/>
        <v>Ranstadt</v>
      </c>
      <c r="C195" s="301" t="s">
        <v>161</v>
      </c>
      <c r="D195" s="299" t="s">
        <v>122</v>
      </c>
      <c r="E195" s="299" t="s">
        <v>419</v>
      </c>
    </row>
    <row r="196" spans="1:5">
      <c r="A196" s="305">
        <v>440021</v>
      </c>
      <c r="B196" s="299" t="str">
        <f t="shared" si="9"/>
        <v>Reichelsheim</v>
      </c>
      <c r="C196" s="301" t="s">
        <v>161</v>
      </c>
      <c r="D196" s="299" t="s">
        <v>122</v>
      </c>
      <c r="E196" s="299" t="s">
        <v>660</v>
      </c>
    </row>
    <row r="197" spans="1:5">
      <c r="A197" s="305">
        <v>440022</v>
      </c>
      <c r="B197" s="299" t="str">
        <f t="shared" si="9"/>
        <v>Rockenberg</v>
      </c>
      <c r="C197" s="301" t="s">
        <v>161</v>
      </c>
      <c r="D197" s="299" t="s">
        <v>122</v>
      </c>
      <c r="E197" s="299" t="s">
        <v>420</v>
      </c>
    </row>
    <row r="198" spans="1:5">
      <c r="A198" s="305">
        <v>440023</v>
      </c>
      <c r="B198" s="299" t="str">
        <f t="shared" si="9"/>
        <v>Rosbach v.d.Höhe</v>
      </c>
      <c r="C198" s="301" t="s">
        <v>161</v>
      </c>
      <c r="D198" s="299" t="s">
        <v>122</v>
      </c>
      <c r="E198" s="299" t="s">
        <v>421</v>
      </c>
    </row>
    <row r="199" spans="1:5">
      <c r="A199" s="305">
        <v>440024</v>
      </c>
      <c r="B199" s="299" t="str">
        <f t="shared" si="9"/>
        <v>Wölfersheim</v>
      </c>
      <c r="C199" s="301" t="s">
        <v>161</v>
      </c>
      <c r="D199" s="299" t="s">
        <v>122</v>
      </c>
      <c r="E199" s="299" t="s">
        <v>422</v>
      </c>
    </row>
    <row r="200" spans="1:5">
      <c r="A200" s="305">
        <v>440025</v>
      </c>
      <c r="B200" s="299" t="str">
        <f t="shared" si="9"/>
        <v>Wöllstadt</v>
      </c>
      <c r="C200" s="301" t="s">
        <v>161</v>
      </c>
      <c r="D200" s="299" t="s">
        <v>122</v>
      </c>
      <c r="E200" s="299" t="s">
        <v>423</v>
      </c>
    </row>
    <row r="201" spans="1:5">
      <c r="A201" s="307">
        <v>531000</v>
      </c>
      <c r="B201" s="299"/>
      <c r="C201" s="302" t="s">
        <v>648</v>
      </c>
      <c r="D201" s="301" t="s">
        <v>123</v>
      </c>
    </row>
    <row r="202" spans="1:5">
      <c r="A202" s="305">
        <v>531001</v>
      </c>
      <c r="B202" s="299" t="str">
        <f t="shared" ref="B202:B219" si="10">E202</f>
        <v>Allendorf (Lumda)</v>
      </c>
      <c r="C202" s="301" t="s">
        <v>123</v>
      </c>
      <c r="D202" s="301" t="s">
        <v>123</v>
      </c>
      <c r="E202" s="299" t="s">
        <v>424</v>
      </c>
    </row>
    <row r="203" spans="1:5">
      <c r="A203" s="305">
        <v>531002</v>
      </c>
      <c r="B203" s="299" t="str">
        <f t="shared" si="10"/>
        <v>Biebertal</v>
      </c>
      <c r="C203" s="301" t="s">
        <v>123</v>
      </c>
      <c r="D203" s="301" t="s">
        <v>123</v>
      </c>
      <c r="E203" s="299" t="s">
        <v>425</v>
      </c>
    </row>
    <row r="204" spans="1:5">
      <c r="A204" s="305">
        <v>531003</v>
      </c>
      <c r="B204" s="299" t="str">
        <f t="shared" si="10"/>
        <v>Buseck</v>
      </c>
      <c r="C204" s="301" t="s">
        <v>123</v>
      </c>
      <c r="D204" s="301" t="s">
        <v>123</v>
      </c>
      <c r="E204" s="299" t="s">
        <v>426</v>
      </c>
    </row>
    <row r="205" spans="1:5">
      <c r="A205" s="305">
        <v>531004</v>
      </c>
      <c r="B205" s="299" t="str">
        <f t="shared" si="10"/>
        <v>Fernwald</v>
      </c>
      <c r="C205" s="301" t="s">
        <v>123</v>
      </c>
      <c r="D205" s="301" t="s">
        <v>123</v>
      </c>
      <c r="E205" s="299" t="s">
        <v>427</v>
      </c>
    </row>
    <row r="206" spans="1:5">
      <c r="A206" s="305">
        <v>531005</v>
      </c>
      <c r="B206" s="299" t="str">
        <f t="shared" si="10"/>
        <v>Gießen</v>
      </c>
      <c r="C206" s="301" t="s">
        <v>123</v>
      </c>
      <c r="D206" s="301" t="s">
        <v>123</v>
      </c>
      <c r="E206" s="299" t="s">
        <v>123</v>
      </c>
    </row>
    <row r="207" spans="1:5">
      <c r="A207" s="305">
        <v>531006</v>
      </c>
      <c r="B207" s="299" t="str">
        <f t="shared" si="10"/>
        <v>Grünberg</v>
      </c>
      <c r="C207" s="301" t="s">
        <v>123</v>
      </c>
      <c r="D207" s="301" t="s">
        <v>123</v>
      </c>
      <c r="E207" s="299" t="s">
        <v>428</v>
      </c>
    </row>
    <row r="208" spans="1:5">
      <c r="A208" s="305">
        <v>531007</v>
      </c>
      <c r="B208" s="299" t="str">
        <f t="shared" si="10"/>
        <v>Heuchelheim</v>
      </c>
      <c r="C208" s="301" t="s">
        <v>123</v>
      </c>
      <c r="D208" s="301" t="s">
        <v>123</v>
      </c>
      <c r="E208" s="299" t="s">
        <v>429</v>
      </c>
    </row>
    <row r="209" spans="1:5">
      <c r="A209" s="305">
        <v>531008</v>
      </c>
      <c r="B209" s="299" t="str">
        <f t="shared" si="10"/>
        <v>Hungen</v>
      </c>
      <c r="C209" s="301" t="s">
        <v>123</v>
      </c>
      <c r="D209" s="301" t="s">
        <v>123</v>
      </c>
      <c r="E209" s="299" t="s">
        <v>430</v>
      </c>
    </row>
    <row r="210" spans="1:5">
      <c r="A210" s="305">
        <v>531009</v>
      </c>
      <c r="B210" s="299" t="str">
        <f t="shared" si="10"/>
        <v>Langgöns</v>
      </c>
      <c r="C210" s="301" t="s">
        <v>123</v>
      </c>
      <c r="D210" s="301" t="s">
        <v>123</v>
      </c>
      <c r="E210" s="299" t="s">
        <v>431</v>
      </c>
    </row>
    <row r="211" spans="1:5">
      <c r="A211" s="305">
        <v>531010</v>
      </c>
      <c r="B211" s="299" t="str">
        <f t="shared" si="10"/>
        <v>Laubach</v>
      </c>
      <c r="C211" s="301" t="s">
        <v>123</v>
      </c>
      <c r="D211" s="301" t="s">
        <v>123</v>
      </c>
      <c r="E211" s="299" t="s">
        <v>432</v>
      </c>
    </row>
    <row r="212" spans="1:5">
      <c r="A212" s="305">
        <v>531011</v>
      </c>
      <c r="B212" s="299" t="str">
        <f t="shared" si="10"/>
        <v>Lich</v>
      </c>
      <c r="C212" s="301" t="s">
        <v>123</v>
      </c>
      <c r="D212" s="301" t="s">
        <v>123</v>
      </c>
      <c r="E212" s="299" t="s">
        <v>433</v>
      </c>
    </row>
    <row r="213" spans="1:5">
      <c r="A213" s="305">
        <v>531012</v>
      </c>
      <c r="B213" s="299" t="str">
        <f t="shared" si="10"/>
        <v>Linden</v>
      </c>
      <c r="C213" s="301" t="s">
        <v>123</v>
      </c>
      <c r="D213" s="301" t="s">
        <v>123</v>
      </c>
      <c r="E213" s="299" t="s">
        <v>434</v>
      </c>
    </row>
    <row r="214" spans="1:5">
      <c r="A214" s="305">
        <v>531013</v>
      </c>
      <c r="B214" s="299" t="str">
        <f t="shared" si="10"/>
        <v>Lollar</v>
      </c>
      <c r="C214" s="301" t="s">
        <v>123</v>
      </c>
      <c r="D214" s="301" t="s">
        <v>123</v>
      </c>
      <c r="E214" s="299" t="s">
        <v>435</v>
      </c>
    </row>
    <row r="215" spans="1:5">
      <c r="A215" s="305">
        <v>531014</v>
      </c>
      <c r="B215" s="299" t="str">
        <f t="shared" si="10"/>
        <v>Pohlheim</v>
      </c>
      <c r="C215" s="301" t="s">
        <v>123</v>
      </c>
      <c r="D215" s="301" t="s">
        <v>123</v>
      </c>
      <c r="E215" s="299" t="s">
        <v>436</v>
      </c>
    </row>
    <row r="216" spans="1:5">
      <c r="A216" s="305">
        <v>531015</v>
      </c>
      <c r="B216" s="299" t="str">
        <f t="shared" si="10"/>
        <v>Rabenau</v>
      </c>
      <c r="C216" s="301" t="s">
        <v>123</v>
      </c>
      <c r="D216" s="301" t="s">
        <v>123</v>
      </c>
      <c r="E216" s="299" t="s">
        <v>437</v>
      </c>
    </row>
    <row r="217" spans="1:5">
      <c r="A217" s="305">
        <v>531016</v>
      </c>
      <c r="B217" s="299" t="str">
        <f t="shared" si="10"/>
        <v>Reiskirchen</v>
      </c>
      <c r="C217" s="301" t="s">
        <v>123</v>
      </c>
      <c r="D217" s="301" t="s">
        <v>123</v>
      </c>
      <c r="E217" s="299" t="s">
        <v>438</v>
      </c>
    </row>
    <row r="218" spans="1:5">
      <c r="A218" s="305">
        <v>531017</v>
      </c>
      <c r="B218" s="299" t="str">
        <f t="shared" si="10"/>
        <v>Staufenberg</v>
      </c>
      <c r="C218" s="301" t="s">
        <v>123</v>
      </c>
      <c r="D218" s="301" t="s">
        <v>123</v>
      </c>
      <c r="E218" s="299" t="s">
        <v>439</v>
      </c>
    </row>
    <row r="219" spans="1:5">
      <c r="A219" s="305">
        <v>531018</v>
      </c>
      <c r="B219" s="299" t="str">
        <f t="shared" si="10"/>
        <v>Wettenberg</v>
      </c>
      <c r="C219" s="301" t="s">
        <v>123</v>
      </c>
      <c r="D219" s="301" t="s">
        <v>123</v>
      </c>
      <c r="E219" s="299" t="s">
        <v>440</v>
      </c>
    </row>
    <row r="220" spans="1:5">
      <c r="A220" s="307">
        <v>532000</v>
      </c>
      <c r="B220" s="299"/>
      <c r="C220" s="302" t="s">
        <v>162</v>
      </c>
      <c r="D220" s="301" t="s">
        <v>123</v>
      </c>
    </row>
    <row r="221" spans="1:5">
      <c r="A221" s="305">
        <v>532001</v>
      </c>
      <c r="B221" s="299" t="str">
        <f t="shared" ref="B221:B243" si="11">E221</f>
        <v>Aßlar</v>
      </c>
      <c r="C221" s="301" t="s">
        <v>162</v>
      </c>
      <c r="D221" s="301" t="s">
        <v>123</v>
      </c>
      <c r="E221" s="299" t="s">
        <v>441</v>
      </c>
    </row>
    <row r="222" spans="1:5">
      <c r="A222" s="305">
        <v>532002</v>
      </c>
      <c r="B222" s="299" t="str">
        <f t="shared" si="11"/>
        <v>Bischoffen</v>
      </c>
      <c r="C222" s="301" t="s">
        <v>162</v>
      </c>
      <c r="D222" s="301" t="s">
        <v>123</v>
      </c>
      <c r="E222" s="299" t="s">
        <v>442</v>
      </c>
    </row>
    <row r="223" spans="1:5">
      <c r="A223" s="305">
        <v>532003</v>
      </c>
      <c r="B223" s="299" t="str">
        <f t="shared" si="11"/>
        <v>Braunfels</v>
      </c>
      <c r="C223" s="301" t="s">
        <v>162</v>
      </c>
      <c r="D223" s="301" t="s">
        <v>123</v>
      </c>
      <c r="E223" s="299" t="s">
        <v>443</v>
      </c>
    </row>
    <row r="224" spans="1:5">
      <c r="A224" s="305">
        <v>532004</v>
      </c>
      <c r="B224" s="299" t="str">
        <f t="shared" si="11"/>
        <v>Breitscheid</v>
      </c>
      <c r="C224" s="301" t="s">
        <v>162</v>
      </c>
      <c r="D224" s="301" t="s">
        <v>123</v>
      </c>
      <c r="E224" s="299" t="s">
        <v>444</v>
      </c>
    </row>
    <row r="225" spans="1:5">
      <c r="A225" s="305">
        <v>532005</v>
      </c>
      <c r="B225" s="299" t="str">
        <f t="shared" si="11"/>
        <v>Dietzhölztal</v>
      </c>
      <c r="C225" s="301" t="s">
        <v>162</v>
      </c>
      <c r="D225" s="301" t="s">
        <v>123</v>
      </c>
      <c r="E225" s="299" t="s">
        <v>445</v>
      </c>
    </row>
    <row r="226" spans="1:5">
      <c r="A226" s="305">
        <v>532006</v>
      </c>
      <c r="B226" s="299" t="str">
        <f t="shared" si="11"/>
        <v>Dillenburg</v>
      </c>
      <c r="C226" s="301" t="s">
        <v>162</v>
      </c>
      <c r="D226" s="301" t="s">
        <v>123</v>
      </c>
      <c r="E226" s="299" t="s">
        <v>446</v>
      </c>
    </row>
    <row r="227" spans="1:5">
      <c r="A227" s="305">
        <v>532007</v>
      </c>
      <c r="B227" s="299" t="str">
        <f t="shared" si="11"/>
        <v>Driedorf</v>
      </c>
      <c r="C227" s="301" t="s">
        <v>162</v>
      </c>
      <c r="D227" s="301" t="s">
        <v>123</v>
      </c>
      <c r="E227" s="299" t="s">
        <v>447</v>
      </c>
    </row>
    <row r="228" spans="1:5">
      <c r="A228" s="305">
        <v>532008</v>
      </c>
      <c r="B228" s="299" t="str">
        <f t="shared" si="11"/>
        <v>Ehringshausen</v>
      </c>
      <c r="C228" s="301" t="s">
        <v>162</v>
      </c>
      <c r="D228" s="301" t="s">
        <v>123</v>
      </c>
      <c r="E228" s="299" t="s">
        <v>448</v>
      </c>
    </row>
    <row r="229" spans="1:5">
      <c r="A229" s="305">
        <v>532009</v>
      </c>
      <c r="B229" s="299" t="str">
        <f t="shared" si="11"/>
        <v>Eschenburg</v>
      </c>
      <c r="C229" s="301" t="s">
        <v>162</v>
      </c>
      <c r="D229" s="301" t="s">
        <v>123</v>
      </c>
      <c r="E229" s="299" t="s">
        <v>449</v>
      </c>
    </row>
    <row r="230" spans="1:5">
      <c r="A230" s="305">
        <v>532010</v>
      </c>
      <c r="B230" s="299" t="str">
        <f t="shared" si="11"/>
        <v>Greifenstein</v>
      </c>
      <c r="C230" s="301" t="s">
        <v>162</v>
      </c>
      <c r="D230" s="301" t="s">
        <v>123</v>
      </c>
      <c r="E230" s="299" t="s">
        <v>450</v>
      </c>
    </row>
    <row r="231" spans="1:5">
      <c r="A231" s="305">
        <v>532011</v>
      </c>
      <c r="B231" s="299" t="str">
        <f t="shared" si="11"/>
        <v>Haiger</v>
      </c>
      <c r="C231" s="301" t="s">
        <v>162</v>
      </c>
      <c r="D231" s="301" t="s">
        <v>123</v>
      </c>
      <c r="E231" s="299" t="s">
        <v>451</v>
      </c>
    </row>
    <row r="232" spans="1:5">
      <c r="A232" s="305">
        <v>532012</v>
      </c>
      <c r="B232" s="299" t="str">
        <f t="shared" si="11"/>
        <v>Herborn</v>
      </c>
      <c r="C232" s="301" t="s">
        <v>162</v>
      </c>
      <c r="D232" s="301" t="s">
        <v>123</v>
      </c>
      <c r="E232" s="299" t="s">
        <v>452</v>
      </c>
    </row>
    <row r="233" spans="1:5">
      <c r="A233" s="305">
        <v>532013</v>
      </c>
      <c r="B233" s="299" t="str">
        <f t="shared" si="11"/>
        <v>Hohenahr</v>
      </c>
      <c r="C233" s="301" t="s">
        <v>162</v>
      </c>
      <c r="D233" s="301" t="s">
        <v>123</v>
      </c>
      <c r="E233" s="299" t="s">
        <v>453</v>
      </c>
    </row>
    <row r="234" spans="1:5">
      <c r="A234" s="305">
        <v>532014</v>
      </c>
      <c r="B234" s="299" t="str">
        <f t="shared" si="11"/>
        <v>Hüttenberg</v>
      </c>
      <c r="C234" s="301" t="s">
        <v>162</v>
      </c>
      <c r="D234" s="301" t="s">
        <v>123</v>
      </c>
      <c r="E234" s="299" t="s">
        <v>454</v>
      </c>
    </row>
    <row r="235" spans="1:5">
      <c r="A235" s="305">
        <v>532015</v>
      </c>
      <c r="B235" s="299" t="str">
        <f t="shared" si="11"/>
        <v>Lahnau</v>
      </c>
      <c r="C235" s="301" t="s">
        <v>162</v>
      </c>
      <c r="D235" s="301" t="s">
        <v>123</v>
      </c>
      <c r="E235" s="299" t="s">
        <v>455</v>
      </c>
    </row>
    <row r="236" spans="1:5">
      <c r="A236" s="305">
        <v>532016</v>
      </c>
      <c r="B236" s="299" t="str">
        <f t="shared" si="11"/>
        <v>Leun</v>
      </c>
      <c r="C236" s="301" t="s">
        <v>162</v>
      </c>
      <c r="D236" s="301" t="s">
        <v>123</v>
      </c>
      <c r="E236" s="299" t="s">
        <v>456</v>
      </c>
    </row>
    <row r="237" spans="1:5">
      <c r="A237" s="305">
        <v>532017</v>
      </c>
      <c r="B237" s="299" t="str">
        <f t="shared" si="11"/>
        <v>Mittenaar</v>
      </c>
      <c r="C237" s="301" t="s">
        <v>162</v>
      </c>
      <c r="D237" s="301" t="s">
        <v>123</v>
      </c>
      <c r="E237" s="299" t="s">
        <v>457</v>
      </c>
    </row>
    <row r="238" spans="1:5">
      <c r="A238" s="305">
        <v>532018</v>
      </c>
      <c r="B238" s="299" t="str">
        <f t="shared" si="11"/>
        <v>Schöffengrund</v>
      </c>
      <c r="C238" s="301" t="s">
        <v>162</v>
      </c>
      <c r="D238" s="301" t="s">
        <v>123</v>
      </c>
      <c r="E238" s="299" t="s">
        <v>458</v>
      </c>
    </row>
    <row r="239" spans="1:5">
      <c r="A239" s="305">
        <v>532019</v>
      </c>
      <c r="B239" s="299" t="str">
        <f t="shared" si="11"/>
        <v>Siegbach</v>
      </c>
      <c r="C239" s="301" t="s">
        <v>162</v>
      </c>
      <c r="D239" s="301" t="s">
        <v>123</v>
      </c>
      <c r="E239" s="299" t="s">
        <v>459</v>
      </c>
    </row>
    <row r="240" spans="1:5">
      <c r="A240" s="305">
        <v>532020</v>
      </c>
      <c r="B240" s="299" t="str">
        <f t="shared" si="11"/>
        <v>Sinn</v>
      </c>
      <c r="C240" s="301" t="s">
        <v>162</v>
      </c>
      <c r="D240" s="301" t="s">
        <v>123</v>
      </c>
      <c r="E240" s="299" t="s">
        <v>460</v>
      </c>
    </row>
    <row r="241" spans="1:5">
      <c r="A241" s="305">
        <v>532021</v>
      </c>
      <c r="B241" s="299" t="str">
        <f t="shared" si="11"/>
        <v>Solms</v>
      </c>
      <c r="C241" s="301" t="s">
        <v>162</v>
      </c>
      <c r="D241" s="301" t="s">
        <v>123</v>
      </c>
      <c r="E241" s="299" t="s">
        <v>461</v>
      </c>
    </row>
    <row r="242" spans="1:5">
      <c r="A242" s="305">
        <v>532022</v>
      </c>
      <c r="B242" s="299" t="str">
        <f t="shared" si="11"/>
        <v>Waldsolms</v>
      </c>
      <c r="C242" s="301" t="s">
        <v>162</v>
      </c>
      <c r="D242" s="301" t="s">
        <v>123</v>
      </c>
      <c r="E242" s="299" t="s">
        <v>462</v>
      </c>
    </row>
    <row r="243" spans="1:5">
      <c r="A243" s="305">
        <v>532023</v>
      </c>
      <c r="B243" s="299" t="str">
        <f t="shared" si="11"/>
        <v>Wetzlar</v>
      </c>
      <c r="C243" s="301" t="s">
        <v>162</v>
      </c>
      <c r="D243" s="301" t="s">
        <v>123</v>
      </c>
      <c r="E243" s="299" t="s">
        <v>463</v>
      </c>
    </row>
    <row r="244" spans="1:5">
      <c r="A244" s="307">
        <v>533000</v>
      </c>
      <c r="B244" s="299"/>
      <c r="C244" s="302" t="s">
        <v>649</v>
      </c>
      <c r="D244" s="301" t="s">
        <v>123</v>
      </c>
    </row>
    <row r="245" spans="1:5">
      <c r="A245" s="305">
        <v>533001</v>
      </c>
      <c r="B245" s="299" t="str">
        <f t="shared" ref="B245:B263" si="12">E245</f>
        <v>Beselich</v>
      </c>
      <c r="C245" s="301" t="s">
        <v>167</v>
      </c>
      <c r="D245" s="301" t="s">
        <v>123</v>
      </c>
      <c r="E245" s="299" t="s">
        <v>464</v>
      </c>
    </row>
    <row r="246" spans="1:5">
      <c r="A246" s="305">
        <v>533002</v>
      </c>
      <c r="B246" s="299" t="str">
        <f t="shared" si="12"/>
        <v>Brechen</v>
      </c>
      <c r="C246" s="301" t="s">
        <v>167</v>
      </c>
      <c r="D246" s="301" t="s">
        <v>123</v>
      </c>
      <c r="E246" s="299" t="s">
        <v>465</v>
      </c>
    </row>
    <row r="247" spans="1:5">
      <c r="A247" s="305">
        <v>533003</v>
      </c>
      <c r="B247" s="299" t="str">
        <f t="shared" si="12"/>
        <v>Bad Camberg</v>
      </c>
      <c r="C247" s="301" t="s">
        <v>167</v>
      </c>
      <c r="D247" s="301" t="s">
        <v>123</v>
      </c>
      <c r="E247" s="299" t="s">
        <v>466</v>
      </c>
    </row>
    <row r="248" spans="1:5">
      <c r="A248" s="305">
        <v>533004</v>
      </c>
      <c r="B248" s="299" t="str">
        <f t="shared" si="12"/>
        <v>Dornburg</v>
      </c>
      <c r="C248" s="301" t="s">
        <v>167</v>
      </c>
      <c r="D248" s="301" t="s">
        <v>123</v>
      </c>
      <c r="E248" s="299" t="s">
        <v>467</v>
      </c>
    </row>
    <row r="249" spans="1:5">
      <c r="A249" s="305">
        <v>533005</v>
      </c>
      <c r="B249" s="299" t="str">
        <f t="shared" si="12"/>
        <v>Elbtal</v>
      </c>
      <c r="C249" s="301" t="s">
        <v>167</v>
      </c>
      <c r="D249" s="301" t="s">
        <v>123</v>
      </c>
      <c r="E249" s="299" t="s">
        <v>468</v>
      </c>
    </row>
    <row r="250" spans="1:5">
      <c r="A250" s="305">
        <v>533006</v>
      </c>
      <c r="B250" s="299" t="str">
        <f t="shared" si="12"/>
        <v>Elz</v>
      </c>
      <c r="C250" s="301" t="s">
        <v>167</v>
      </c>
      <c r="D250" s="301" t="s">
        <v>123</v>
      </c>
      <c r="E250" s="299" t="s">
        <v>469</v>
      </c>
    </row>
    <row r="251" spans="1:5">
      <c r="A251" s="305">
        <v>533007</v>
      </c>
      <c r="B251" s="299" t="str">
        <f t="shared" si="12"/>
        <v>Hadamar</v>
      </c>
      <c r="C251" s="301" t="s">
        <v>167</v>
      </c>
      <c r="D251" s="301" t="s">
        <v>123</v>
      </c>
      <c r="E251" s="299" t="s">
        <v>470</v>
      </c>
    </row>
    <row r="252" spans="1:5">
      <c r="A252" s="305">
        <v>533008</v>
      </c>
      <c r="B252" s="299" t="str">
        <f t="shared" si="12"/>
        <v>Hünfelden</v>
      </c>
      <c r="C252" s="301" t="s">
        <v>167</v>
      </c>
      <c r="D252" s="301" t="s">
        <v>123</v>
      </c>
      <c r="E252" s="299" t="s">
        <v>471</v>
      </c>
    </row>
    <row r="253" spans="1:5">
      <c r="A253" s="305">
        <v>533009</v>
      </c>
      <c r="B253" s="299" t="str">
        <f t="shared" si="12"/>
        <v>Limburg</v>
      </c>
      <c r="C253" s="301" t="s">
        <v>167</v>
      </c>
      <c r="D253" s="301" t="s">
        <v>123</v>
      </c>
      <c r="E253" s="299" t="s">
        <v>659</v>
      </c>
    </row>
    <row r="254" spans="1:5">
      <c r="A254" s="305">
        <v>533010</v>
      </c>
      <c r="B254" s="299" t="str">
        <f t="shared" si="12"/>
        <v>Löhnberg</v>
      </c>
      <c r="C254" s="301" t="s">
        <v>167</v>
      </c>
      <c r="D254" s="301" t="s">
        <v>123</v>
      </c>
      <c r="E254" s="299" t="s">
        <v>472</v>
      </c>
    </row>
    <row r="255" spans="1:5">
      <c r="A255" s="305">
        <v>533011</v>
      </c>
      <c r="B255" s="299" t="str">
        <f t="shared" si="12"/>
        <v>Mengerskirchen</v>
      </c>
      <c r="C255" s="301" t="s">
        <v>167</v>
      </c>
      <c r="D255" s="301" t="s">
        <v>123</v>
      </c>
      <c r="E255" s="299" t="s">
        <v>473</v>
      </c>
    </row>
    <row r="256" spans="1:5">
      <c r="A256" s="305">
        <v>533012</v>
      </c>
      <c r="B256" s="299" t="str">
        <f t="shared" si="12"/>
        <v>Merenberg</v>
      </c>
      <c r="C256" s="301" t="s">
        <v>167</v>
      </c>
      <c r="D256" s="301" t="s">
        <v>123</v>
      </c>
      <c r="E256" s="299" t="s">
        <v>474</v>
      </c>
    </row>
    <row r="257" spans="1:5">
      <c r="A257" s="305">
        <v>533013</v>
      </c>
      <c r="B257" s="299" t="str">
        <f t="shared" si="12"/>
        <v>Runkel</v>
      </c>
      <c r="C257" s="301" t="s">
        <v>167</v>
      </c>
      <c r="D257" s="301" t="s">
        <v>123</v>
      </c>
      <c r="E257" s="299" t="s">
        <v>475</v>
      </c>
    </row>
    <row r="258" spans="1:5">
      <c r="A258" s="305">
        <v>533014</v>
      </c>
      <c r="B258" s="299" t="str">
        <f t="shared" si="12"/>
        <v xml:space="preserve">Selters </v>
      </c>
      <c r="C258" s="301" t="s">
        <v>167</v>
      </c>
      <c r="D258" s="301" t="s">
        <v>123</v>
      </c>
      <c r="E258" s="299" t="s">
        <v>682</v>
      </c>
    </row>
    <row r="259" spans="1:5">
      <c r="A259" s="305">
        <v>533015</v>
      </c>
      <c r="B259" s="299" t="str">
        <f t="shared" si="12"/>
        <v>Villmar</v>
      </c>
      <c r="C259" s="301" t="s">
        <v>167</v>
      </c>
      <c r="D259" s="301" t="s">
        <v>123</v>
      </c>
      <c r="E259" s="299" t="s">
        <v>476</v>
      </c>
    </row>
    <row r="260" spans="1:5">
      <c r="A260" s="305">
        <v>533016</v>
      </c>
      <c r="B260" s="299" t="str">
        <f t="shared" si="12"/>
        <v>Waldbrunn</v>
      </c>
      <c r="C260" s="301" t="s">
        <v>167</v>
      </c>
      <c r="D260" s="301" t="s">
        <v>123</v>
      </c>
      <c r="E260" s="299" t="s">
        <v>658</v>
      </c>
    </row>
    <row r="261" spans="1:5">
      <c r="A261" s="305">
        <v>533017</v>
      </c>
      <c r="B261" s="299" t="str">
        <f t="shared" si="12"/>
        <v>Weilburg</v>
      </c>
      <c r="C261" s="301" t="s">
        <v>167</v>
      </c>
      <c r="D261" s="301" t="s">
        <v>123</v>
      </c>
      <c r="E261" s="299" t="s">
        <v>477</v>
      </c>
    </row>
    <row r="262" spans="1:5">
      <c r="A262" s="305">
        <v>533018</v>
      </c>
      <c r="B262" s="299" t="str">
        <f t="shared" si="12"/>
        <v>Weilmünster</v>
      </c>
      <c r="C262" s="301" t="s">
        <v>167</v>
      </c>
      <c r="D262" s="301" t="s">
        <v>123</v>
      </c>
      <c r="E262" s="299" t="s">
        <v>478</v>
      </c>
    </row>
    <row r="263" spans="1:5">
      <c r="A263" s="305">
        <v>533019</v>
      </c>
      <c r="B263" s="299" t="str">
        <f t="shared" si="12"/>
        <v>Weinbach</v>
      </c>
      <c r="C263" s="301" t="s">
        <v>167</v>
      </c>
      <c r="D263" s="301" t="s">
        <v>123</v>
      </c>
      <c r="E263" s="299" t="s">
        <v>479</v>
      </c>
    </row>
    <row r="264" spans="1:5">
      <c r="A264" s="307">
        <v>534000</v>
      </c>
      <c r="B264" s="299"/>
      <c r="C264" s="302" t="s">
        <v>168</v>
      </c>
      <c r="D264" s="301" t="s">
        <v>123</v>
      </c>
    </row>
    <row r="265" spans="1:5">
      <c r="A265" s="305">
        <v>534001</v>
      </c>
      <c r="B265" s="299" t="str">
        <f t="shared" ref="B265:B286" si="13">E265</f>
        <v>Amöneburg</v>
      </c>
      <c r="C265" s="301" t="s">
        <v>168</v>
      </c>
      <c r="D265" s="301" t="s">
        <v>123</v>
      </c>
      <c r="E265" s="299" t="s">
        <v>480</v>
      </c>
    </row>
    <row r="266" spans="1:5">
      <c r="A266" s="305">
        <v>534002</v>
      </c>
      <c r="B266" s="299" t="str">
        <f t="shared" si="13"/>
        <v>Angelburg</v>
      </c>
      <c r="C266" s="301" t="s">
        <v>168</v>
      </c>
      <c r="D266" s="301" t="s">
        <v>123</v>
      </c>
      <c r="E266" s="299" t="s">
        <v>481</v>
      </c>
    </row>
    <row r="267" spans="1:5">
      <c r="A267" s="305">
        <v>534003</v>
      </c>
      <c r="B267" s="299" t="str">
        <f t="shared" si="13"/>
        <v>Bad Endbach</v>
      </c>
      <c r="C267" s="301" t="s">
        <v>168</v>
      </c>
      <c r="D267" s="301" t="s">
        <v>123</v>
      </c>
      <c r="E267" s="299" t="s">
        <v>482</v>
      </c>
    </row>
    <row r="268" spans="1:5">
      <c r="A268" s="305">
        <v>534004</v>
      </c>
      <c r="B268" s="299" t="str">
        <f t="shared" si="13"/>
        <v>Biedenkopf</v>
      </c>
      <c r="C268" s="301" t="s">
        <v>168</v>
      </c>
      <c r="D268" s="301" t="s">
        <v>123</v>
      </c>
      <c r="E268" s="299" t="s">
        <v>483</v>
      </c>
    </row>
    <row r="269" spans="1:5">
      <c r="A269" s="305">
        <v>534005</v>
      </c>
      <c r="B269" s="299" t="str">
        <f t="shared" si="13"/>
        <v>Breidenbach</v>
      </c>
      <c r="C269" s="301" t="s">
        <v>168</v>
      </c>
      <c r="D269" s="301" t="s">
        <v>123</v>
      </c>
      <c r="E269" s="299" t="s">
        <v>484</v>
      </c>
    </row>
    <row r="270" spans="1:5">
      <c r="A270" s="305">
        <v>534006</v>
      </c>
      <c r="B270" s="299" t="str">
        <f t="shared" si="13"/>
        <v>Cölbe</v>
      </c>
      <c r="C270" s="301" t="s">
        <v>168</v>
      </c>
      <c r="D270" s="301" t="s">
        <v>123</v>
      </c>
      <c r="E270" s="299" t="s">
        <v>485</v>
      </c>
    </row>
    <row r="271" spans="1:5">
      <c r="A271" s="305">
        <v>534007</v>
      </c>
      <c r="B271" s="299" t="str">
        <f t="shared" si="13"/>
        <v>Dautphetal</v>
      </c>
      <c r="C271" s="301" t="s">
        <v>168</v>
      </c>
      <c r="D271" s="301" t="s">
        <v>123</v>
      </c>
      <c r="E271" s="299" t="s">
        <v>486</v>
      </c>
    </row>
    <row r="272" spans="1:5">
      <c r="A272" s="305">
        <v>534008</v>
      </c>
      <c r="B272" s="299" t="str">
        <f t="shared" si="13"/>
        <v>Ebsdorfergrund</v>
      </c>
      <c r="C272" s="301" t="s">
        <v>168</v>
      </c>
      <c r="D272" s="301" t="s">
        <v>123</v>
      </c>
      <c r="E272" s="299" t="s">
        <v>487</v>
      </c>
    </row>
    <row r="273" spans="1:5">
      <c r="A273" s="305">
        <v>534009</v>
      </c>
      <c r="B273" s="299" t="str">
        <f t="shared" si="13"/>
        <v>Fronhausen</v>
      </c>
      <c r="C273" s="301" t="s">
        <v>168</v>
      </c>
      <c r="D273" s="301" t="s">
        <v>123</v>
      </c>
      <c r="E273" s="299" t="s">
        <v>488</v>
      </c>
    </row>
    <row r="274" spans="1:5">
      <c r="A274" s="305">
        <v>534010</v>
      </c>
      <c r="B274" s="299" t="str">
        <f t="shared" si="13"/>
        <v>Gladenbach</v>
      </c>
      <c r="C274" s="301" t="s">
        <v>168</v>
      </c>
      <c r="D274" s="301" t="s">
        <v>123</v>
      </c>
      <c r="E274" s="299" t="s">
        <v>489</v>
      </c>
    </row>
    <row r="275" spans="1:5">
      <c r="A275" s="305">
        <v>534011</v>
      </c>
      <c r="B275" s="299" t="str">
        <f t="shared" si="13"/>
        <v>Kirchhain</v>
      </c>
      <c r="C275" s="301" t="s">
        <v>168</v>
      </c>
      <c r="D275" s="301" t="s">
        <v>123</v>
      </c>
      <c r="E275" s="299" t="s">
        <v>490</v>
      </c>
    </row>
    <row r="276" spans="1:5">
      <c r="A276" s="305">
        <v>534012</v>
      </c>
      <c r="B276" s="299" t="str">
        <f t="shared" si="13"/>
        <v>Lahntal</v>
      </c>
      <c r="C276" s="301" t="s">
        <v>168</v>
      </c>
      <c r="D276" s="301" t="s">
        <v>123</v>
      </c>
      <c r="E276" s="299" t="s">
        <v>491</v>
      </c>
    </row>
    <row r="277" spans="1:5">
      <c r="A277" s="305">
        <v>534013</v>
      </c>
      <c r="B277" s="299" t="str">
        <f t="shared" si="13"/>
        <v>Lohra</v>
      </c>
      <c r="C277" s="301" t="s">
        <v>168</v>
      </c>
      <c r="D277" s="301" t="s">
        <v>123</v>
      </c>
      <c r="E277" s="299" t="s">
        <v>492</v>
      </c>
    </row>
    <row r="278" spans="1:5">
      <c r="A278" s="305">
        <v>534014</v>
      </c>
      <c r="B278" s="299" t="str">
        <f t="shared" si="13"/>
        <v>Marburg</v>
      </c>
      <c r="C278" s="301" t="s">
        <v>168</v>
      </c>
      <c r="D278" s="301" t="s">
        <v>123</v>
      </c>
      <c r="E278" s="299" t="s">
        <v>493</v>
      </c>
    </row>
    <row r="279" spans="1:5">
      <c r="A279" s="305">
        <v>534015</v>
      </c>
      <c r="B279" s="299" t="str">
        <f t="shared" si="13"/>
        <v>Münchhausen</v>
      </c>
      <c r="C279" s="301" t="s">
        <v>168</v>
      </c>
      <c r="D279" s="301" t="s">
        <v>123</v>
      </c>
      <c r="E279" s="299" t="s">
        <v>494</v>
      </c>
    </row>
    <row r="280" spans="1:5">
      <c r="A280" s="305">
        <v>534016</v>
      </c>
      <c r="B280" s="299" t="str">
        <f t="shared" si="13"/>
        <v xml:space="preserve">Neustadt </v>
      </c>
      <c r="C280" s="301" t="s">
        <v>168</v>
      </c>
      <c r="D280" s="301" t="s">
        <v>123</v>
      </c>
      <c r="E280" s="299" t="s">
        <v>655</v>
      </c>
    </row>
    <row r="281" spans="1:5">
      <c r="A281" s="305">
        <v>534017</v>
      </c>
      <c r="B281" s="299" t="str">
        <f t="shared" si="13"/>
        <v>Rauschenberg</v>
      </c>
      <c r="C281" s="301" t="s">
        <v>168</v>
      </c>
      <c r="D281" s="301" t="s">
        <v>123</v>
      </c>
      <c r="E281" s="299" t="s">
        <v>495</v>
      </c>
    </row>
    <row r="282" spans="1:5">
      <c r="A282" s="305">
        <v>534018</v>
      </c>
      <c r="B282" s="299" t="str">
        <f t="shared" si="13"/>
        <v>Stadtallendorf</v>
      </c>
      <c r="C282" s="301" t="s">
        <v>168</v>
      </c>
      <c r="D282" s="301" t="s">
        <v>123</v>
      </c>
      <c r="E282" s="299" t="s">
        <v>496</v>
      </c>
    </row>
    <row r="283" spans="1:5">
      <c r="A283" s="305">
        <v>534019</v>
      </c>
      <c r="B283" s="299" t="str">
        <f t="shared" si="13"/>
        <v>Steffenberg</v>
      </c>
      <c r="C283" s="301" t="s">
        <v>168</v>
      </c>
      <c r="D283" s="301" t="s">
        <v>123</v>
      </c>
      <c r="E283" s="299" t="s">
        <v>497</v>
      </c>
    </row>
    <row r="284" spans="1:5">
      <c r="A284" s="305">
        <v>534020</v>
      </c>
      <c r="B284" s="299" t="str">
        <f t="shared" si="13"/>
        <v>Weimar</v>
      </c>
      <c r="C284" s="301" t="s">
        <v>168</v>
      </c>
      <c r="D284" s="301" t="s">
        <v>123</v>
      </c>
      <c r="E284" s="299" t="s">
        <v>656</v>
      </c>
    </row>
    <row r="285" spans="1:5">
      <c r="A285" s="305">
        <v>534021</v>
      </c>
      <c r="B285" s="299" t="str">
        <f t="shared" si="13"/>
        <v>Wetter</v>
      </c>
      <c r="C285" s="301" t="s">
        <v>168</v>
      </c>
      <c r="D285" s="301" t="s">
        <v>123</v>
      </c>
      <c r="E285" s="299" t="s">
        <v>657</v>
      </c>
    </row>
    <row r="286" spans="1:5">
      <c r="A286" s="305">
        <v>534022</v>
      </c>
      <c r="B286" s="299" t="str">
        <f t="shared" si="13"/>
        <v>Wohratal</v>
      </c>
      <c r="C286" s="301" t="s">
        <v>168</v>
      </c>
      <c r="D286" s="301" t="s">
        <v>123</v>
      </c>
      <c r="E286" s="299" t="s">
        <v>498</v>
      </c>
    </row>
    <row r="287" spans="1:5">
      <c r="A287" s="307">
        <v>535000</v>
      </c>
      <c r="B287" s="299"/>
      <c r="C287" s="302" t="s">
        <v>163</v>
      </c>
      <c r="D287" s="301" t="s">
        <v>123</v>
      </c>
    </row>
    <row r="288" spans="1:5">
      <c r="A288" s="305">
        <v>535001</v>
      </c>
      <c r="B288" s="299" t="str">
        <f t="shared" ref="B288:B306" si="14">E288</f>
        <v>Alsfeld</v>
      </c>
      <c r="C288" s="301" t="s">
        <v>163</v>
      </c>
      <c r="D288" s="301" t="s">
        <v>123</v>
      </c>
      <c r="E288" s="299" t="s">
        <v>499</v>
      </c>
    </row>
    <row r="289" spans="1:5">
      <c r="A289" s="305">
        <v>535002</v>
      </c>
      <c r="B289" s="299" t="str">
        <f t="shared" si="14"/>
        <v>Antrifttal</v>
      </c>
      <c r="C289" s="301" t="s">
        <v>163</v>
      </c>
      <c r="D289" s="301" t="s">
        <v>123</v>
      </c>
      <c r="E289" s="299" t="s">
        <v>500</v>
      </c>
    </row>
    <row r="290" spans="1:5">
      <c r="A290" s="305">
        <v>535003</v>
      </c>
      <c r="B290" s="299" t="str">
        <f t="shared" si="14"/>
        <v>Feldatal</v>
      </c>
      <c r="C290" s="301" t="s">
        <v>163</v>
      </c>
      <c r="D290" s="301" t="s">
        <v>123</v>
      </c>
      <c r="E290" s="299" t="s">
        <v>501</v>
      </c>
    </row>
    <row r="291" spans="1:5">
      <c r="A291" s="305">
        <v>535004</v>
      </c>
      <c r="B291" s="299" t="str">
        <f t="shared" si="14"/>
        <v>Freiensteinau</v>
      </c>
      <c r="C291" s="301" t="s">
        <v>163</v>
      </c>
      <c r="D291" s="301" t="s">
        <v>123</v>
      </c>
      <c r="E291" s="299" t="s">
        <v>502</v>
      </c>
    </row>
    <row r="292" spans="1:5">
      <c r="A292" s="305">
        <v>535005</v>
      </c>
      <c r="B292" s="299" t="str">
        <f t="shared" si="14"/>
        <v xml:space="preserve">Gemünden </v>
      </c>
      <c r="C292" s="301" t="s">
        <v>163</v>
      </c>
      <c r="D292" s="301" t="s">
        <v>123</v>
      </c>
      <c r="E292" s="299" t="s">
        <v>654</v>
      </c>
    </row>
    <row r="293" spans="1:5">
      <c r="A293" s="305">
        <v>535006</v>
      </c>
      <c r="B293" s="299" t="str">
        <f t="shared" si="14"/>
        <v>Grebenau</v>
      </c>
      <c r="C293" s="301" t="s">
        <v>163</v>
      </c>
      <c r="D293" s="301" t="s">
        <v>123</v>
      </c>
      <c r="E293" s="299" t="s">
        <v>503</v>
      </c>
    </row>
    <row r="294" spans="1:5">
      <c r="A294" s="305">
        <v>535007</v>
      </c>
      <c r="B294" s="299" t="str">
        <f t="shared" si="14"/>
        <v>Grebenhain</v>
      </c>
      <c r="C294" s="301" t="s">
        <v>163</v>
      </c>
      <c r="D294" s="301" t="s">
        <v>123</v>
      </c>
      <c r="E294" s="299" t="s">
        <v>504</v>
      </c>
    </row>
    <row r="295" spans="1:5">
      <c r="A295" s="305">
        <v>535008</v>
      </c>
      <c r="B295" s="299" t="str">
        <f t="shared" si="14"/>
        <v>Herbstein</v>
      </c>
      <c r="C295" s="301" t="s">
        <v>163</v>
      </c>
      <c r="D295" s="301" t="s">
        <v>123</v>
      </c>
      <c r="E295" s="299" t="s">
        <v>505</v>
      </c>
    </row>
    <row r="296" spans="1:5">
      <c r="A296" s="305">
        <v>535009</v>
      </c>
      <c r="B296" s="299" t="str">
        <f t="shared" si="14"/>
        <v>Homberg (Ohm)</v>
      </c>
      <c r="C296" s="301" t="s">
        <v>163</v>
      </c>
      <c r="D296" s="301" t="s">
        <v>123</v>
      </c>
      <c r="E296" s="299" t="s">
        <v>506</v>
      </c>
    </row>
    <row r="297" spans="1:5">
      <c r="A297" s="305">
        <v>535010</v>
      </c>
      <c r="B297" s="299" t="str">
        <f t="shared" si="14"/>
        <v>Kirtorf</v>
      </c>
      <c r="C297" s="301" t="s">
        <v>163</v>
      </c>
      <c r="D297" s="301" t="s">
        <v>123</v>
      </c>
      <c r="E297" s="299" t="s">
        <v>507</v>
      </c>
    </row>
    <row r="298" spans="1:5">
      <c r="A298" s="305">
        <v>535011</v>
      </c>
      <c r="B298" s="299" t="str">
        <f t="shared" si="14"/>
        <v xml:space="preserve">Lauterbach </v>
      </c>
      <c r="C298" s="301" t="s">
        <v>163</v>
      </c>
      <c r="D298" s="301" t="s">
        <v>123</v>
      </c>
      <c r="E298" s="299" t="s">
        <v>652</v>
      </c>
    </row>
    <row r="299" spans="1:5">
      <c r="A299" s="305">
        <v>535012</v>
      </c>
      <c r="B299" s="299" t="str">
        <f t="shared" si="14"/>
        <v xml:space="preserve">Lautertal </v>
      </c>
      <c r="C299" s="301" t="s">
        <v>163</v>
      </c>
      <c r="D299" s="301" t="s">
        <v>123</v>
      </c>
      <c r="E299" s="299" t="s">
        <v>653</v>
      </c>
    </row>
    <row r="300" spans="1:5">
      <c r="A300" s="305">
        <v>535013</v>
      </c>
      <c r="B300" s="299" t="str">
        <f t="shared" si="14"/>
        <v>Mücke</v>
      </c>
      <c r="C300" s="301" t="s">
        <v>163</v>
      </c>
      <c r="D300" s="301" t="s">
        <v>123</v>
      </c>
      <c r="E300" s="299" t="s">
        <v>508</v>
      </c>
    </row>
    <row r="301" spans="1:5">
      <c r="A301" s="305">
        <v>535014</v>
      </c>
      <c r="B301" s="299" t="str">
        <f t="shared" si="14"/>
        <v>Romrod</v>
      </c>
      <c r="C301" s="301" t="s">
        <v>163</v>
      </c>
      <c r="D301" s="301" t="s">
        <v>123</v>
      </c>
      <c r="E301" s="299" t="s">
        <v>509</v>
      </c>
    </row>
    <row r="302" spans="1:5">
      <c r="A302" s="305">
        <v>535015</v>
      </c>
      <c r="B302" s="299" t="str">
        <f t="shared" si="14"/>
        <v>Schlitz</v>
      </c>
      <c r="C302" s="301" t="s">
        <v>163</v>
      </c>
      <c r="D302" s="301" t="s">
        <v>123</v>
      </c>
      <c r="E302" s="299" t="s">
        <v>510</v>
      </c>
    </row>
    <row r="303" spans="1:5">
      <c r="A303" s="305">
        <v>535016</v>
      </c>
      <c r="B303" s="299" t="str">
        <f t="shared" si="14"/>
        <v>Schotten</v>
      </c>
      <c r="C303" s="301" t="s">
        <v>163</v>
      </c>
      <c r="D303" s="301" t="s">
        <v>123</v>
      </c>
      <c r="E303" s="299" t="s">
        <v>511</v>
      </c>
    </row>
    <row r="304" spans="1:5">
      <c r="A304" s="305">
        <v>535017</v>
      </c>
      <c r="B304" s="299" t="str">
        <f t="shared" si="14"/>
        <v>Schwalmtal</v>
      </c>
      <c r="C304" s="301" t="s">
        <v>163</v>
      </c>
      <c r="D304" s="301" t="s">
        <v>123</v>
      </c>
      <c r="E304" s="299" t="s">
        <v>512</v>
      </c>
    </row>
    <row r="305" spans="1:6">
      <c r="A305" s="305">
        <v>535018</v>
      </c>
      <c r="B305" s="299" t="str">
        <f t="shared" si="14"/>
        <v>Ulrichstein</v>
      </c>
      <c r="C305" s="301" t="s">
        <v>163</v>
      </c>
      <c r="D305" s="301" t="s">
        <v>123</v>
      </c>
      <c r="E305" s="299" t="s">
        <v>513</v>
      </c>
    </row>
    <row r="306" spans="1:6">
      <c r="A306" s="305">
        <v>535019</v>
      </c>
      <c r="B306" s="299" t="str">
        <f t="shared" si="14"/>
        <v>Wartenberg</v>
      </c>
      <c r="C306" s="301" t="s">
        <v>163</v>
      </c>
      <c r="D306" s="301" t="s">
        <v>123</v>
      </c>
      <c r="E306" s="299" t="s">
        <v>514</v>
      </c>
    </row>
    <row r="307" spans="1:6">
      <c r="A307" s="305">
        <v>611000</v>
      </c>
      <c r="B307" s="299"/>
      <c r="C307" s="301"/>
      <c r="D307" s="301" t="s">
        <v>124</v>
      </c>
      <c r="F307" s="299" t="s">
        <v>124</v>
      </c>
    </row>
    <row r="308" spans="1:6">
      <c r="A308" s="307">
        <v>631000</v>
      </c>
      <c r="B308" s="299"/>
      <c r="C308" s="302" t="s">
        <v>169</v>
      </c>
      <c r="D308" s="301" t="s">
        <v>124</v>
      </c>
    </row>
    <row r="309" spans="1:6">
      <c r="A309" s="305">
        <v>631001</v>
      </c>
      <c r="B309" s="299" t="str">
        <f t="shared" ref="B309:B331" si="15">E309</f>
        <v xml:space="preserve">Bad Salzschlirf </v>
      </c>
      <c r="C309" s="301" t="s">
        <v>169</v>
      </c>
      <c r="D309" s="301" t="s">
        <v>124</v>
      </c>
      <c r="E309" s="299" t="s">
        <v>515</v>
      </c>
    </row>
    <row r="310" spans="1:6">
      <c r="A310" s="305">
        <v>631002</v>
      </c>
      <c r="B310" s="299" t="str">
        <f t="shared" si="15"/>
        <v>Burghaun</v>
      </c>
      <c r="C310" s="301" t="s">
        <v>169</v>
      </c>
      <c r="D310" s="301" t="s">
        <v>124</v>
      </c>
      <c r="E310" s="299" t="s">
        <v>516</v>
      </c>
    </row>
    <row r="311" spans="1:6">
      <c r="A311" s="305">
        <v>631003</v>
      </c>
      <c r="B311" s="299" t="str">
        <f t="shared" si="15"/>
        <v>Dipperz</v>
      </c>
      <c r="C311" s="301" t="s">
        <v>169</v>
      </c>
      <c r="D311" s="301" t="s">
        <v>124</v>
      </c>
      <c r="E311" s="299" t="s">
        <v>517</v>
      </c>
    </row>
    <row r="312" spans="1:6">
      <c r="A312" s="305">
        <v>631004</v>
      </c>
      <c r="B312" s="299" t="str">
        <f t="shared" si="15"/>
        <v>Ebersburg</v>
      </c>
      <c r="C312" s="301" t="s">
        <v>169</v>
      </c>
      <c r="D312" s="301" t="s">
        <v>124</v>
      </c>
      <c r="E312" s="299" t="s">
        <v>518</v>
      </c>
    </row>
    <row r="313" spans="1:6">
      <c r="A313" s="305">
        <v>631005</v>
      </c>
      <c r="B313" s="299" t="str">
        <f t="shared" si="15"/>
        <v>Ehrenberg (Rhön)</v>
      </c>
      <c r="C313" s="301" t="s">
        <v>169</v>
      </c>
      <c r="D313" s="301" t="s">
        <v>124</v>
      </c>
      <c r="E313" s="299" t="s">
        <v>519</v>
      </c>
    </row>
    <row r="314" spans="1:6">
      <c r="A314" s="305">
        <v>631006</v>
      </c>
      <c r="B314" s="299" t="str">
        <f t="shared" si="15"/>
        <v>Eichenzell</v>
      </c>
      <c r="C314" s="301" t="s">
        <v>169</v>
      </c>
      <c r="D314" s="301" t="s">
        <v>124</v>
      </c>
      <c r="E314" s="299" t="s">
        <v>520</v>
      </c>
    </row>
    <row r="315" spans="1:6">
      <c r="A315" s="305">
        <v>631007</v>
      </c>
      <c r="B315" s="299" t="str">
        <f t="shared" si="15"/>
        <v>Eiterfeld</v>
      </c>
      <c r="C315" s="301" t="s">
        <v>169</v>
      </c>
      <c r="D315" s="301" t="s">
        <v>124</v>
      </c>
      <c r="E315" s="299" t="s">
        <v>521</v>
      </c>
    </row>
    <row r="316" spans="1:6">
      <c r="A316" s="305">
        <v>631008</v>
      </c>
      <c r="B316" s="299" t="str">
        <f t="shared" si="15"/>
        <v>Flieden</v>
      </c>
      <c r="C316" s="301" t="s">
        <v>169</v>
      </c>
      <c r="D316" s="301" t="s">
        <v>124</v>
      </c>
      <c r="E316" s="299" t="s">
        <v>522</v>
      </c>
    </row>
    <row r="317" spans="1:6">
      <c r="A317" s="305">
        <v>631009</v>
      </c>
      <c r="B317" s="299" t="str">
        <f t="shared" si="15"/>
        <v>Fulda</v>
      </c>
      <c r="C317" s="301" t="s">
        <v>169</v>
      </c>
      <c r="D317" s="301" t="s">
        <v>124</v>
      </c>
      <c r="E317" s="299" t="s">
        <v>169</v>
      </c>
    </row>
    <row r="318" spans="1:6">
      <c r="A318" s="305">
        <v>631010</v>
      </c>
      <c r="B318" s="299" t="str">
        <f t="shared" si="15"/>
        <v>Gersfeld</v>
      </c>
      <c r="C318" s="301" t="s">
        <v>169</v>
      </c>
      <c r="D318" s="301" t="s">
        <v>124</v>
      </c>
      <c r="E318" s="299" t="s">
        <v>683</v>
      </c>
    </row>
    <row r="319" spans="1:6">
      <c r="A319" s="305">
        <v>631011</v>
      </c>
      <c r="B319" s="299" t="str">
        <f t="shared" si="15"/>
        <v>Großenlüder</v>
      </c>
      <c r="C319" s="301" t="s">
        <v>169</v>
      </c>
      <c r="D319" s="301" t="s">
        <v>124</v>
      </c>
      <c r="E319" s="299" t="s">
        <v>523</v>
      </c>
    </row>
    <row r="320" spans="1:6">
      <c r="A320" s="305">
        <v>631012</v>
      </c>
      <c r="B320" s="299" t="str">
        <f t="shared" si="15"/>
        <v>Hilders</v>
      </c>
      <c r="C320" s="301" t="s">
        <v>169</v>
      </c>
      <c r="D320" s="301" t="s">
        <v>124</v>
      </c>
      <c r="E320" s="299" t="s">
        <v>524</v>
      </c>
    </row>
    <row r="321" spans="1:5">
      <c r="A321" s="305">
        <v>631013</v>
      </c>
      <c r="B321" s="299" t="str">
        <f t="shared" si="15"/>
        <v xml:space="preserve">Hofbieber </v>
      </c>
      <c r="C321" s="301" t="s">
        <v>169</v>
      </c>
      <c r="D321" s="301" t="s">
        <v>124</v>
      </c>
      <c r="E321" s="299" t="s">
        <v>525</v>
      </c>
    </row>
    <row r="322" spans="1:5">
      <c r="A322" s="305">
        <v>631014</v>
      </c>
      <c r="B322" s="299" t="str">
        <f t="shared" si="15"/>
        <v>Hosenfeld</v>
      </c>
      <c r="C322" s="301" t="s">
        <v>169</v>
      </c>
      <c r="D322" s="301" t="s">
        <v>124</v>
      </c>
      <c r="E322" s="299" t="s">
        <v>526</v>
      </c>
    </row>
    <row r="323" spans="1:5">
      <c r="A323" s="305">
        <v>631015</v>
      </c>
      <c r="B323" s="299" t="str">
        <f t="shared" si="15"/>
        <v>Hünfeld</v>
      </c>
      <c r="C323" s="301" t="s">
        <v>169</v>
      </c>
      <c r="D323" s="301" t="s">
        <v>124</v>
      </c>
      <c r="E323" s="299" t="s">
        <v>527</v>
      </c>
    </row>
    <row r="324" spans="1:5">
      <c r="A324" s="305">
        <v>631016</v>
      </c>
      <c r="B324" s="299" t="str">
        <f t="shared" si="15"/>
        <v>Kalbach</v>
      </c>
      <c r="C324" s="301" t="s">
        <v>169</v>
      </c>
      <c r="D324" s="301" t="s">
        <v>124</v>
      </c>
      <c r="E324" s="299" t="s">
        <v>528</v>
      </c>
    </row>
    <row r="325" spans="1:5">
      <c r="A325" s="305">
        <v>631017</v>
      </c>
      <c r="B325" s="299" t="str">
        <f t="shared" si="15"/>
        <v>Künzell</v>
      </c>
      <c r="C325" s="301" t="s">
        <v>169</v>
      </c>
      <c r="D325" s="301" t="s">
        <v>124</v>
      </c>
      <c r="E325" s="299" t="s">
        <v>529</v>
      </c>
    </row>
    <row r="326" spans="1:5">
      <c r="A326" s="305">
        <v>631018</v>
      </c>
      <c r="B326" s="299" t="str">
        <f t="shared" si="15"/>
        <v>Neuhof</v>
      </c>
      <c r="C326" s="301" t="s">
        <v>169</v>
      </c>
      <c r="D326" s="301" t="s">
        <v>124</v>
      </c>
      <c r="E326" s="299" t="s">
        <v>530</v>
      </c>
    </row>
    <row r="327" spans="1:5">
      <c r="A327" s="305">
        <v>631019</v>
      </c>
      <c r="B327" s="299" t="str">
        <f t="shared" si="15"/>
        <v>Nüsttal</v>
      </c>
      <c r="C327" s="301" t="s">
        <v>169</v>
      </c>
      <c r="D327" s="301" t="s">
        <v>124</v>
      </c>
      <c r="E327" s="299" t="s">
        <v>531</v>
      </c>
    </row>
    <row r="328" spans="1:5">
      <c r="A328" s="305">
        <v>631020</v>
      </c>
      <c r="B328" s="299" t="str">
        <f t="shared" si="15"/>
        <v>Petersberg</v>
      </c>
      <c r="C328" s="301" t="s">
        <v>169</v>
      </c>
      <c r="D328" s="301" t="s">
        <v>124</v>
      </c>
      <c r="E328" s="299" t="s">
        <v>532</v>
      </c>
    </row>
    <row r="329" spans="1:5">
      <c r="A329" s="305">
        <v>631021</v>
      </c>
      <c r="B329" s="299" t="str">
        <f t="shared" si="15"/>
        <v>Poppenhausen</v>
      </c>
      <c r="C329" s="301" t="s">
        <v>169</v>
      </c>
      <c r="D329" s="301" t="s">
        <v>124</v>
      </c>
      <c r="E329" s="299" t="s">
        <v>651</v>
      </c>
    </row>
    <row r="330" spans="1:5">
      <c r="A330" s="305">
        <v>631022</v>
      </c>
      <c r="B330" s="299" t="str">
        <f t="shared" si="15"/>
        <v>Rasdorf</v>
      </c>
      <c r="C330" s="301" t="s">
        <v>169</v>
      </c>
      <c r="D330" s="301" t="s">
        <v>124</v>
      </c>
      <c r="E330" s="299" t="s">
        <v>533</v>
      </c>
    </row>
    <row r="331" spans="1:5">
      <c r="A331" s="305">
        <v>631023</v>
      </c>
      <c r="B331" s="299" t="str">
        <f t="shared" si="15"/>
        <v xml:space="preserve">Tann </v>
      </c>
      <c r="C331" s="301" t="s">
        <v>169</v>
      </c>
      <c r="D331" s="301" t="s">
        <v>124</v>
      </c>
      <c r="E331" s="299" t="s">
        <v>684</v>
      </c>
    </row>
    <row r="332" spans="1:5">
      <c r="A332" s="307">
        <v>632000</v>
      </c>
      <c r="B332" s="299"/>
      <c r="C332" s="302" t="s">
        <v>170</v>
      </c>
      <c r="D332" s="301" t="s">
        <v>124</v>
      </c>
    </row>
    <row r="333" spans="1:5">
      <c r="A333" s="305">
        <v>632001</v>
      </c>
      <c r="B333" s="299" t="str">
        <f t="shared" ref="B333:B352" si="16">E333</f>
        <v>Alheim</v>
      </c>
      <c r="C333" s="301" t="s">
        <v>535</v>
      </c>
      <c r="D333" s="301" t="s">
        <v>124</v>
      </c>
      <c r="E333" s="299" t="s">
        <v>534</v>
      </c>
    </row>
    <row r="334" spans="1:5">
      <c r="A334" s="305">
        <v>632002</v>
      </c>
      <c r="B334" s="299" t="str">
        <f t="shared" si="16"/>
        <v>Bad Hersfeld</v>
      </c>
      <c r="C334" s="301" t="s">
        <v>535</v>
      </c>
      <c r="D334" s="301" t="s">
        <v>124</v>
      </c>
      <c r="E334" s="299" t="s">
        <v>536</v>
      </c>
    </row>
    <row r="335" spans="1:5">
      <c r="A335" s="305">
        <v>632003</v>
      </c>
      <c r="B335" s="299" t="str">
        <f t="shared" si="16"/>
        <v>Bebra</v>
      </c>
      <c r="C335" s="301" t="s">
        <v>535</v>
      </c>
      <c r="D335" s="301" t="s">
        <v>124</v>
      </c>
      <c r="E335" s="299" t="s">
        <v>537</v>
      </c>
    </row>
    <row r="336" spans="1:5">
      <c r="A336" s="305">
        <v>632004</v>
      </c>
      <c r="B336" s="299" t="str">
        <f t="shared" si="16"/>
        <v>Breitenbach a. Herzberg</v>
      </c>
      <c r="C336" s="301" t="s">
        <v>535</v>
      </c>
      <c r="D336" s="301" t="s">
        <v>124</v>
      </c>
      <c r="E336" s="299" t="s">
        <v>538</v>
      </c>
    </row>
    <row r="337" spans="1:5">
      <c r="A337" s="305">
        <v>632005</v>
      </c>
      <c r="B337" s="299" t="str">
        <f t="shared" si="16"/>
        <v>Cornberg</v>
      </c>
      <c r="C337" s="301" t="s">
        <v>535</v>
      </c>
      <c r="D337" s="301" t="s">
        <v>124</v>
      </c>
      <c r="E337" s="299" t="s">
        <v>539</v>
      </c>
    </row>
    <row r="338" spans="1:5">
      <c r="A338" s="305">
        <v>632006</v>
      </c>
      <c r="B338" s="299" t="str">
        <f t="shared" si="16"/>
        <v>Friedewald</v>
      </c>
      <c r="C338" s="301" t="s">
        <v>535</v>
      </c>
      <c r="D338" s="301" t="s">
        <v>124</v>
      </c>
      <c r="E338" s="299" t="s">
        <v>540</v>
      </c>
    </row>
    <row r="339" spans="1:5">
      <c r="A339" s="305">
        <v>632007</v>
      </c>
      <c r="B339" s="299" t="str">
        <f t="shared" si="16"/>
        <v>Hauneck</v>
      </c>
      <c r="C339" s="301" t="s">
        <v>535</v>
      </c>
      <c r="D339" s="301" t="s">
        <v>124</v>
      </c>
      <c r="E339" s="299" t="s">
        <v>541</v>
      </c>
    </row>
    <row r="340" spans="1:5">
      <c r="A340" s="305">
        <v>632008</v>
      </c>
      <c r="B340" s="299" t="str">
        <f t="shared" si="16"/>
        <v>Haunetal</v>
      </c>
      <c r="C340" s="301" t="s">
        <v>535</v>
      </c>
      <c r="D340" s="301" t="s">
        <v>124</v>
      </c>
      <c r="E340" s="299" t="s">
        <v>542</v>
      </c>
    </row>
    <row r="341" spans="1:5">
      <c r="A341" s="305">
        <v>632009</v>
      </c>
      <c r="B341" s="299" t="str">
        <f t="shared" si="16"/>
        <v>Heringen (Werra)</v>
      </c>
      <c r="C341" s="301" t="s">
        <v>535</v>
      </c>
      <c r="D341" s="301" t="s">
        <v>124</v>
      </c>
      <c r="E341" s="299" t="s">
        <v>543</v>
      </c>
    </row>
    <row r="342" spans="1:5">
      <c r="A342" s="305">
        <v>632010</v>
      </c>
      <c r="B342" s="299" t="str">
        <f t="shared" si="16"/>
        <v>Hohenroda</v>
      </c>
      <c r="C342" s="301" t="s">
        <v>535</v>
      </c>
      <c r="D342" s="301" t="s">
        <v>124</v>
      </c>
      <c r="E342" s="299" t="s">
        <v>544</v>
      </c>
    </row>
    <row r="343" spans="1:5">
      <c r="A343" s="305">
        <v>632011</v>
      </c>
      <c r="B343" s="299" t="str">
        <f t="shared" si="16"/>
        <v>Kirchheim</v>
      </c>
      <c r="C343" s="301" t="s">
        <v>535</v>
      </c>
      <c r="D343" s="301" t="s">
        <v>124</v>
      </c>
      <c r="E343" s="299" t="s">
        <v>545</v>
      </c>
    </row>
    <row r="344" spans="1:5">
      <c r="A344" s="305">
        <v>632012</v>
      </c>
      <c r="B344" s="299" t="str">
        <f t="shared" si="16"/>
        <v>Ludwigsau</v>
      </c>
      <c r="C344" s="301" t="s">
        <v>535</v>
      </c>
      <c r="D344" s="301" t="s">
        <v>124</v>
      </c>
      <c r="E344" s="299" t="s">
        <v>546</v>
      </c>
    </row>
    <row r="345" spans="1:5">
      <c r="A345" s="305">
        <v>632013</v>
      </c>
      <c r="B345" s="299" t="str">
        <f t="shared" si="16"/>
        <v>Nentershausen</v>
      </c>
      <c r="C345" s="301" t="s">
        <v>535</v>
      </c>
      <c r="D345" s="301" t="s">
        <v>124</v>
      </c>
      <c r="E345" s="299" t="s">
        <v>547</v>
      </c>
    </row>
    <row r="346" spans="1:5">
      <c r="A346" s="305">
        <v>632014</v>
      </c>
      <c r="B346" s="299" t="str">
        <f t="shared" si="16"/>
        <v>Neuenstein</v>
      </c>
      <c r="C346" s="301" t="s">
        <v>535</v>
      </c>
      <c r="D346" s="301" t="s">
        <v>124</v>
      </c>
      <c r="E346" s="299" t="s">
        <v>548</v>
      </c>
    </row>
    <row r="347" spans="1:5">
      <c r="A347" s="305">
        <v>632015</v>
      </c>
      <c r="B347" s="299" t="str">
        <f t="shared" si="16"/>
        <v>Niederaula</v>
      </c>
      <c r="C347" s="301" t="s">
        <v>535</v>
      </c>
      <c r="D347" s="301" t="s">
        <v>124</v>
      </c>
      <c r="E347" s="299" t="s">
        <v>549</v>
      </c>
    </row>
    <row r="348" spans="1:5">
      <c r="A348" s="305">
        <v>632016</v>
      </c>
      <c r="B348" s="299" t="str">
        <f t="shared" si="16"/>
        <v>Philippsthal</v>
      </c>
      <c r="C348" s="301" t="s">
        <v>535</v>
      </c>
      <c r="D348" s="301" t="s">
        <v>124</v>
      </c>
      <c r="E348" s="299" t="s">
        <v>685</v>
      </c>
    </row>
    <row r="349" spans="1:5">
      <c r="A349" s="305">
        <v>632017</v>
      </c>
      <c r="B349" s="299" t="str">
        <f t="shared" si="16"/>
        <v>Ronshausen</v>
      </c>
      <c r="C349" s="301" t="s">
        <v>535</v>
      </c>
      <c r="D349" s="301" t="s">
        <v>124</v>
      </c>
      <c r="E349" s="299" t="s">
        <v>550</v>
      </c>
    </row>
    <row r="350" spans="1:5">
      <c r="A350" s="305">
        <v>632018</v>
      </c>
      <c r="B350" s="299" t="str">
        <f t="shared" si="16"/>
        <v>Rotenburg a.d. Fulda</v>
      </c>
      <c r="C350" s="301" t="s">
        <v>535</v>
      </c>
      <c r="D350" s="301" t="s">
        <v>124</v>
      </c>
      <c r="E350" s="299" t="s">
        <v>551</v>
      </c>
    </row>
    <row r="351" spans="1:5">
      <c r="A351" s="305">
        <v>632019</v>
      </c>
      <c r="B351" s="299" t="str">
        <f t="shared" si="16"/>
        <v>Schenklengsfeld</v>
      </c>
      <c r="C351" s="301" t="s">
        <v>535</v>
      </c>
      <c r="D351" s="301" t="s">
        <v>124</v>
      </c>
      <c r="E351" s="299" t="s">
        <v>552</v>
      </c>
    </row>
    <row r="352" spans="1:5">
      <c r="A352" s="305">
        <v>632020</v>
      </c>
      <c r="B352" s="299" t="str">
        <f t="shared" si="16"/>
        <v>Wildeck</v>
      </c>
      <c r="C352" s="301" t="s">
        <v>535</v>
      </c>
      <c r="D352" s="301" t="s">
        <v>124</v>
      </c>
      <c r="E352" s="299" t="s">
        <v>553</v>
      </c>
    </row>
    <row r="353" spans="1:5">
      <c r="A353" s="307">
        <v>633000</v>
      </c>
      <c r="B353" s="299"/>
      <c r="C353" s="302" t="s">
        <v>124</v>
      </c>
      <c r="D353" s="301" t="s">
        <v>124</v>
      </c>
    </row>
    <row r="354" spans="1:5">
      <c r="A354" s="305">
        <v>633001</v>
      </c>
      <c r="B354" s="299" t="str">
        <f t="shared" ref="B354:B382" si="17">E354</f>
        <v>Ahnatal</v>
      </c>
      <c r="C354" s="301" t="s">
        <v>124</v>
      </c>
      <c r="D354" s="301" t="s">
        <v>124</v>
      </c>
      <c r="E354" s="299" t="s">
        <v>554</v>
      </c>
    </row>
    <row r="355" spans="1:5">
      <c r="A355" s="305">
        <v>633002</v>
      </c>
      <c r="B355" s="299" t="str">
        <f t="shared" si="17"/>
        <v>Bad Karlshafen</v>
      </c>
      <c r="C355" s="301" t="s">
        <v>124</v>
      </c>
      <c r="D355" s="301" t="s">
        <v>124</v>
      </c>
      <c r="E355" s="299" t="s">
        <v>555</v>
      </c>
    </row>
    <row r="356" spans="1:5">
      <c r="A356" s="305">
        <v>633003</v>
      </c>
      <c r="B356" s="299" t="str">
        <f t="shared" si="17"/>
        <v>Baunatal</v>
      </c>
      <c r="C356" s="301" t="s">
        <v>124</v>
      </c>
      <c r="D356" s="301" t="s">
        <v>124</v>
      </c>
      <c r="E356" s="299" t="s">
        <v>556</v>
      </c>
    </row>
    <row r="357" spans="1:5">
      <c r="A357" s="305">
        <v>633004</v>
      </c>
      <c r="B357" s="299" t="str">
        <f t="shared" si="17"/>
        <v>Breuna</v>
      </c>
      <c r="C357" s="301" t="s">
        <v>124</v>
      </c>
      <c r="D357" s="301" t="s">
        <v>124</v>
      </c>
      <c r="E357" s="299" t="s">
        <v>557</v>
      </c>
    </row>
    <row r="358" spans="1:5">
      <c r="A358" s="305">
        <v>633005</v>
      </c>
      <c r="B358" s="299" t="str">
        <f t="shared" si="17"/>
        <v>Calden</v>
      </c>
      <c r="C358" s="301" t="s">
        <v>124</v>
      </c>
      <c r="D358" s="301" t="s">
        <v>124</v>
      </c>
      <c r="E358" s="299" t="s">
        <v>558</v>
      </c>
    </row>
    <row r="359" spans="1:5">
      <c r="A359" s="305">
        <v>633006</v>
      </c>
      <c r="B359" s="299" t="str">
        <f t="shared" si="17"/>
        <v>Bad Emstal</v>
      </c>
      <c r="C359" s="301" t="s">
        <v>124</v>
      </c>
      <c r="D359" s="301" t="s">
        <v>124</v>
      </c>
      <c r="E359" s="299" t="s">
        <v>559</v>
      </c>
    </row>
    <row r="360" spans="1:5">
      <c r="A360" s="305">
        <v>633007</v>
      </c>
      <c r="B360" s="299" t="str">
        <f t="shared" si="17"/>
        <v>Espenau</v>
      </c>
      <c r="C360" s="301" t="s">
        <v>124</v>
      </c>
      <c r="D360" s="301" t="s">
        <v>124</v>
      </c>
      <c r="E360" s="299" t="s">
        <v>560</v>
      </c>
    </row>
    <row r="361" spans="1:5">
      <c r="A361" s="305">
        <v>633008</v>
      </c>
      <c r="B361" s="299" t="str">
        <f t="shared" si="17"/>
        <v>Fuldabrück</v>
      </c>
      <c r="C361" s="301" t="s">
        <v>124</v>
      </c>
      <c r="D361" s="301" t="s">
        <v>124</v>
      </c>
      <c r="E361" s="299" t="s">
        <v>561</v>
      </c>
    </row>
    <row r="362" spans="1:5">
      <c r="A362" s="305">
        <v>633009</v>
      </c>
      <c r="B362" s="299" t="str">
        <f t="shared" si="17"/>
        <v>Fuldatal</v>
      </c>
      <c r="C362" s="301" t="s">
        <v>124</v>
      </c>
      <c r="D362" s="301" t="s">
        <v>124</v>
      </c>
      <c r="E362" s="299" t="s">
        <v>562</v>
      </c>
    </row>
    <row r="363" spans="1:5">
      <c r="A363" s="305">
        <v>633010</v>
      </c>
      <c r="B363" s="299" t="str">
        <f t="shared" si="17"/>
        <v>Grebenstein</v>
      </c>
      <c r="C363" s="301" t="s">
        <v>124</v>
      </c>
      <c r="D363" s="301" t="s">
        <v>124</v>
      </c>
      <c r="E363" s="299" t="s">
        <v>563</v>
      </c>
    </row>
    <row r="364" spans="1:5">
      <c r="A364" s="305">
        <v>633011</v>
      </c>
      <c r="B364" s="299" t="str">
        <f t="shared" si="17"/>
        <v>Habichtswald</v>
      </c>
      <c r="C364" s="301" t="s">
        <v>124</v>
      </c>
      <c r="D364" s="301" t="s">
        <v>124</v>
      </c>
      <c r="E364" s="299" t="s">
        <v>564</v>
      </c>
    </row>
    <row r="365" spans="1:5">
      <c r="A365" s="305">
        <v>633012</v>
      </c>
      <c r="B365" s="299" t="str">
        <f t="shared" si="17"/>
        <v>Helsa</v>
      </c>
      <c r="C365" s="301" t="s">
        <v>124</v>
      </c>
      <c r="D365" s="301" t="s">
        <v>124</v>
      </c>
      <c r="E365" s="299" t="s">
        <v>565</v>
      </c>
    </row>
    <row r="366" spans="1:5">
      <c r="A366" s="305">
        <v>633013</v>
      </c>
      <c r="B366" s="299" t="str">
        <f t="shared" si="17"/>
        <v>Hofgeismar</v>
      </c>
      <c r="C366" s="301" t="s">
        <v>124</v>
      </c>
      <c r="D366" s="301" t="s">
        <v>124</v>
      </c>
      <c r="E366" s="299" t="s">
        <v>566</v>
      </c>
    </row>
    <row r="367" spans="1:5">
      <c r="A367" s="305">
        <v>633014</v>
      </c>
      <c r="B367" s="299" t="str">
        <f t="shared" si="17"/>
        <v>Immenhausen</v>
      </c>
      <c r="C367" s="301" t="s">
        <v>124</v>
      </c>
      <c r="D367" s="301" t="s">
        <v>124</v>
      </c>
      <c r="E367" s="299" t="s">
        <v>567</v>
      </c>
    </row>
    <row r="368" spans="1:5">
      <c r="A368" s="305">
        <v>633015</v>
      </c>
      <c r="B368" s="299" t="str">
        <f t="shared" si="17"/>
        <v>Kaufungen</v>
      </c>
      <c r="C368" s="301" t="s">
        <v>124</v>
      </c>
      <c r="D368" s="301" t="s">
        <v>124</v>
      </c>
      <c r="E368" s="299" t="s">
        <v>568</v>
      </c>
    </row>
    <row r="369" spans="1:5">
      <c r="A369" s="305">
        <v>633016</v>
      </c>
      <c r="B369" s="299" t="str">
        <f t="shared" si="17"/>
        <v>Liebenau</v>
      </c>
      <c r="C369" s="301" t="s">
        <v>124</v>
      </c>
      <c r="D369" s="301" t="s">
        <v>124</v>
      </c>
      <c r="E369" s="299" t="s">
        <v>569</v>
      </c>
    </row>
    <row r="370" spans="1:5">
      <c r="A370" s="305">
        <v>633017</v>
      </c>
      <c r="B370" s="299" t="str">
        <f t="shared" si="17"/>
        <v>Lohfelden</v>
      </c>
      <c r="C370" s="301" t="s">
        <v>124</v>
      </c>
      <c r="D370" s="301" t="s">
        <v>124</v>
      </c>
      <c r="E370" s="299" t="s">
        <v>570</v>
      </c>
    </row>
    <row r="371" spans="1:5">
      <c r="A371" s="305">
        <v>633018</v>
      </c>
      <c r="B371" s="299" t="str">
        <f t="shared" si="17"/>
        <v>Naumburg</v>
      </c>
      <c r="C371" s="301" t="s">
        <v>124</v>
      </c>
      <c r="D371" s="301" t="s">
        <v>124</v>
      </c>
      <c r="E371" s="299" t="s">
        <v>571</v>
      </c>
    </row>
    <row r="372" spans="1:5">
      <c r="A372" s="305">
        <v>633019</v>
      </c>
      <c r="B372" s="299" t="str">
        <f t="shared" si="17"/>
        <v>Nieste</v>
      </c>
      <c r="C372" s="301" t="s">
        <v>124</v>
      </c>
      <c r="D372" s="301" t="s">
        <v>124</v>
      </c>
      <c r="E372" s="299" t="s">
        <v>572</v>
      </c>
    </row>
    <row r="373" spans="1:5">
      <c r="A373" s="305">
        <v>633020</v>
      </c>
      <c r="B373" s="299" t="str">
        <f t="shared" si="17"/>
        <v>Niestetal</v>
      </c>
      <c r="C373" s="301" t="s">
        <v>124</v>
      </c>
      <c r="D373" s="301" t="s">
        <v>124</v>
      </c>
      <c r="E373" s="299" t="s">
        <v>573</v>
      </c>
    </row>
    <row r="374" spans="1:5">
      <c r="A374" s="305">
        <v>633021</v>
      </c>
      <c r="B374" s="299" t="str">
        <f t="shared" si="17"/>
        <v>Oberweser</v>
      </c>
      <c r="C374" s="301" t="s">
        <v>124</v>
      </c>
      <c r="D374" s="301" t="s">
        <v>124</v>
      </c>
      <c r="E374" s="299" t="s">
        <v>574</v>
      </c>
    </row>
    <row r="375" spans="1:5">
      <c r="A375" s="305">
        <v>633022</v>
      </c>
      <c r="B375" s="299" t="str">
        <f t="shared" si="17"/>
        <v>Reinhardshagen</v>
      </c>
      <c r="C375" s="301" t="s">
        <v>124</v>
      </c>
      <c r="D375" s="301" t="s">
        <v>124</v>
      </c>
      <c r="E375" s="299" t="s">
        <v>575</v>
      </c>
    </row>
    <row r="376" spans="1:5">
      <c r="A376" s="305">
        <v>633023</v>
      </c>
      <c r="B376" s="299" t="str">
        <f t="shared" si="17"/>
        <v>Schauenburg</v>
      </c>
      <c r="C376" s="301" t="s">
        <v>124</v>
      </c>
      <c r="D376" s="301" t="s">
        <v>124</v>
      </c>
      <c r="E376" s="299" t="s">
        <v>576</v>
      </c>
    </row>
    <row r="377" spans="1:5">
      <c r="A377" s="305">
        <v>633024</v>
      </c>
      <c r="B377" s="299" t="str">
        <f t="shared" si="17"/>
        <v>Söhrewald</v>
      </c>
      <c r="C377" s="301" t="s">
        <v>124</v>
      </c>
      <c r="D377" s="301" t="s">
        <v>124</v>
      </c>
      <c r="E377" s="299" t="s">
        <v>577</v>
      </c>
    </row>
    <row r="378" spans="1:5">
      <c r="A378" s="305">
        <v>633025</v>
      </c>
      <c r="B378" s="299" t="str">
        <f t="shared" si="17"/>
        <v>Trendelburg</v>
      </c>
      <c r="C378" s="301" t="s">
        <v>124</v>
      </c>
      <c r="D378" s="301" t="s">
        <v>124</v>
      </c>
      <c r="E378" s="299" t="s">
        <v>578</v>
      </c>
    </row>
    <row r="379" spans="1:5">
      <c r="A379" s="305">
        <v>633026</v>
      </c>
      <c r="B379" s="299" t="str">
        <f t="shared" si="17"/>
        <v>Vellmar</v>
      </c>
      <c r="C379" s="301" t="s">
        <v>124</v>
      </c>
      <c r="D379" s="301" t="s">
        <v>124</v>
      </c>
      <c r="E379" s="299" t="s">
        <v>579</v>
      </c>
    </row>
    <row r="380" spans="1:5">
      <c r="A380" s="305">
        <v>633027</v>
      </c>
      <c r="B380" s="299" t="str">
        <f t="shared" si="17"/>
        <v>Wahlsburg</v>
      </c>
      <c r="C380" s="301" t="s">
        <v>124</v>
      </c>
      <c r="D380" s="301" t="s">
        <v>124</v>
      </c>
      <c r="E380" s="299" t="s">
        <v>580</v>
      </c>
    </row>
    <row r="381" spans="1:5">
      <c r="A381" s="305">
        <v>633028</v>
      </c>
      <c r="B381" s="299" t="str">
        <f t="shared" si="17"/>
        <v>Wolfhagen</v>
      </c>
      <c r="C381" s="301" t="s">
        <v>124</v>
      </c>
      <c r="D381" s="301" t="s">
        <v>124</v>
      </c>
      <c r="E381" s="299" t="s">
        <v>581</v>
      </c>
    </row>
    <row r="382" spans="1:5">
      <c r="A382" s="305">
        <v>633029</v>
      </c>
      <c r="B382" s="299" t="str">
        <f t="shared" si="17"/>
        <v>Zierenberg</v>
      </c>
      <c r="C382" s="301" t="s">
        <v>124</v>
      </c>
      <c r="D382" s="301" t="s">
        <v>124</v>
      </c>
      <c r="E382" s="299" t="s">
        <v>582</v>
      </c>
    </row>
    <row r="383" spans="1:5">
      <c r="A383" s="305">
        <v>633030</v>
      </c>
      <c r="B383" s="299" t="s">
        <v>834</v>
      </c>
      <c r="C383" s="301" t="s">
        <v>124</v>
      </c>
      <c r="D383" s="301" t="s">
        <v>124</v>
      </c>
      <c r="E383" s="299" t="s">
        <v>834</v>
      </c>
    </row>
    <row r="384" spans="1:5">
      <c r="A384" s="307">
        <v>634000</v>
      </c>
      <c r="B384" s="299"/>
      <c r="C384" s="302" t="s">
        <v>164</v>
      </c>
      <c r="D384" s="301" t="s">
        <v>124</v>
      </c>
    </row>
    <row r="385" spans="1:5">
      <c r="A385" s="305">
        <v>634001</v>
      </c>
      <c r="B385" s="299" t="str">
        <f t="shared" ref="B385:B411" si="18">E385</f>
        <v>Borken (Hessen)</v>
      </c>
      <c r="C385" s="301" t="s">
        <v>164</v>
      </c>
      <c r="D385" s="301" t="s">
        <v>124</v>
      </c>
      <c r="E385" s="299" t="s">
        <v>583</v>
      </c>
    </row>
    <row r="386" spans="1:5">
      <c r="A386" s="305">
        <v>634002</v>
      </c>
      <c r="B386" s="299" t="str">
        <f t="shared" si="18"/>
        <v>Edermünde</v>
      </c>
      <c r="C386" s="301" t="s">
        <v>164</v>
      </c>
      <c r="D386" s="301" t="s">
        <v>124</v>
      </c>
      <c r="E386" s="299" t="s">
        <v>584</v>
      </c>
    </row>
    <row r="387" spans="1:5">
      <c r="A387" s="305">
        <v>634003</v>
      </c>
      <c r="B387" s="299" t="str">
        <f t="shared" si="18"/>
        <v>Felsberg</v>
      </c>
      <c r="C387" s="301" t="s">
        <v>164</v>
      </c>
      <c r="D387" s="301" t="s">
        <v>124</v>
      </c>
      <c r="E387" s="299" t="s">
        <v>585</v>
      </c>
    </row>
    <row r="388" spans="1:5">
      <c r="A388" s="305">
        <v>634004</v>
      </c>
      <c r="B388" s="299" t="str">
        <f t="shared" si="18"/>
        <v>Frielendorf</v>
      </c>
      <c r="C388" s="301" t="s">
        <v>164</v>
      </c>
      <c r="D388" s="301" t="s">
        <v>124</v>
      </c>
      <c r="E388" s="299" t="s">
        <v>586</v>
      </c>
    </row>
    <row r="389" spans="1:5">
      <c r="A389" s="305">
        <v>634005</v>
      </c>
      <c r="B389" s="299" t="str">
        <f t="shared" si="18"/>
        <v>Fritzlar</v>
      </c>
      <c r="C389" s="301" t="s">
        <v>164</v>
      </c>
      <c r="D389" s="301" t="s">
        <v>124</v>
      </c>
      <c r="E389" s="299" t="s">
        <v>650</v>
      </c>
    </row>
    <row r="390" spans="1:5">
      <c r="A390" s="305">
        <v>634006</v>
      </c>
      <c r="B390" s="299" t="str">
        <f t="shared" si="18"/>
        <v>Gilserberg</v>
      </c>
      <c r="C390" s="301" t="s">
        <v>164</v>
      </c>
      <c r="D390" s="301" t="s">
        <v>124</v>
      </c>
      <c r="E390" s="299" t="s">
        <v>587</v>
      </c>
    </row>
    <row r="391" spans="1:5">
      <c r="A391" s="305">
        <v>634007</v>
      </c>
      <c r="B391" s="299" t="str">
        <f t="shared" si="18"/>
        <v>Gudensberg</v>
      </c>
      <c r="C391" s="301" t="s">
        <v>164</v>
      </c>
      <c r="D391" s="301" t="s">
        <v>124</v>
      </c>
      <c r="E391" s="299" t="s">
        <v>588</v>
      </c>
    </row>
    <row r="392" spans="1:5">
      <c r="A392" s="305">
        <v>634008</v>
      </c>
      <c r="B392" s="299" t="str">
        <f t="shared" si="18"/>
        <v>Guxhagen</v>
      </c>
      <c r="C392" s="301" t="s">
        <v>164</v>
      </c>
      <c r="D392" s="301" t="s">
        <v>124</v>
      </c>
      <c r="E392" s="299" t="s">
        <v>589</v>
      </c>
    </row>
    <row r="393" spans="1:5">
      <c r="A393" s="305">
        <v>634009</v>
      </c>
      <c r="B393" s="299" t="str">
        <f t="shared" si="18"/>
        <v>Homberg (Efze)</v>
      </c>
      <c r="C393" s="301" t="s">
        <v>164</v>
      </c>
      <c r="D393" s="301" t="s">
        <v>124</v>
      </c>
      <c r="E393" s="299" t="s">
        <v>590</v>
      </c>
    </row>
    <row r="394" spans="1:5">
      <c r="A394" s="305">
        <v>634010</v>
      </c>
      <c r="B394" s="299" t="str">
        <f t="shared" si="18"/>
        <v>Jesberg</v>
      </c>
      <c r="C394" s="301" t="s">
        <v>164</v>
      </c>
      <c r="D394" s="301" t="s">
        <v>124</v>
      </c>
      <c r="E394" s="299" t="s">
        <v>591</v>
      </c>
    </row>
    <row r="395" spans="1:5">
      <c r="A395" s="305">
        <v>634011</v>
      </c>
      <c r="B395" s="299" t="str">
        <f t="shared" si="18"/>
        <v>Knüllwald</v>
      </c>
      <c r="C395" s="301" t="s">
        <v>164</v>
      </c>
      <c r="D395" s="301" t="s">
        <v>124</v>
      </c>
      <c r="E395" s="299" t="s">
        <v>592</v>
      </c>
    </row>
    <row r="396" spans="1:5">
      <c r="A396" s="305">
        <v>634012</v>
      </c>
      <c r="B396" s="299" t="str">
        <f t="shared" si="18"/>
        <v>Körle</v>
      </c>
      <c r="C396" s="301" t="s">
        <v>164</v>
      </c>
      <c r="D396" s="301" t="s">
        <v>124</v>
      </c>
      <c r="E396" s="299" t="s">
        <v>593</v>
      </c>
    </row>
    <row r="397" spans="1:5">
      <c r="A397" s="305">
        <v>634013</v>
      </c>
      <c r="B397" s="299" t="str">
        <f t="shared" si="18"/>
        <v>Malsfeld</v>
      </c>
      <c r="C397" s="301" t="s">
        <v>164</v>
      </c>
      <c r="D397" s="301" t="s">
        <v>124</v>
      </c>
      <c r="E397" s="299" t="s">
        <v>594</v>
      </c>
    </row>
    <row r="398" spans="1:5">
      <c r="A398" s="305">
        <v>634014</v>
      </c>
      <c r="B398" s="299" t="str">
        <f t="shared" si="18"/>
        <v>Melsungen</v>
      </c>
      <c r="C398" s="301" t="s">
        <v>164</v>
      </c>
      <c r="D398" s="301" t="s">
        <v>124</v>
      </c>
      <c r="E398" s="299" t="s">
        <v>595</v>
      </c>
    </row>
    <row r="399" spans="1:5">
      <c r="A399" s="305">
        <v>634015</v>
      </c>
      <c r="B399" s="299" t="str">
        <f t="shared" si="18"/>
        <v>Morschen</v>
      </c>
      <c r="C399" s="301" t="s">
        <v>164</v>
      </c>
      <c r="D399" s="301" t="s">
        <v>124</v>
      </c>
      <c r="E399" s="299" t="s">
        <v>596</v>
      </c>
    </row>
    <row r="400" spans="1:5">
      <c r="A400" s="305">
        <v>634016</v>
      </c>
      <c r="B400" s="299" t="str">
        <f t="shared" si="18"/>
        <v>Neuental</v>
      </c>
      <c r="C400" s="301" t="s">
        <v>164</v>
      </c>
      <c r="D400" s="301" t="s">
        <v>124</v>
      </c>
      <c r="E400" s="299" t="s">
        <v>597</v>
      </c>
    </row>
    <row r="401" spans="1:5">
      <c r="A401" s="305">
        <v>634017</v>
      </c>
      <c r="B401" s="299" t="str">
        <f t="shared" si="18"/>
        <v>Neukirchen</v>
      </c>
      <c r="C401" s="301" t="s">
        <v>164</v>
      </c>
      <c r="D401" s="301" t="s">
        <v>124</v>
      </c>
      <c r="E401" s="299" t="s">
        <v>598</v>
      </c>
    </row>
    <row r="402" spans="1:5">
      <c r="A402" s="305">
        <v>634018</v>
      </c>
      <c r="B402" s="299" t="str">
        <f t="shared" si="18"/>
        <v>Niedenstein</v>
      </c>
      <c r="C402" s="301" t="s">
        <v>164</v>
      </c>
      <c r="D402" s="301" t="s">
        <v>124</v>
      </c>
      <c r="E402" s="299" t="s">
        <v>599</v>
      </c>
    </row>
    <row r="403" spans="1:5">
      <c r="A403" s="305">
        <v>634019</v>
      </c>
      <c r="B403" s="299" t="str">
        <f t="shared" si="18"/>
        <v>Oberaula</v>
      </c>
      <c r="C403" s="301" t="s">
        <v>164</v>
      </c>
      <c r="D403" s="301" t="s">
        <v>124</v>
      </c>
      <c r="E403" s="299" t="s">
        <v>600</v>
      </c>
    </row>
    <row r="404" spans="1:5">
      <c r="A404" s="305">
        <v>634020</v>
      </c>
      <c r="B404" s="299" t="str">
        <f t="shared" si="18"/>
        <v>Ottrau</v>
      </c>
      <c r="C404" s="301" t="s">
        <v>164</v>
      </c>
      <c r="D404" s="301" t="s">
        <v>124</v>
      </c>
      <c r="E404" s="299" t="s">
        <v>601</v>
      </c>
    </row>
    <row r="405" spans="1:5">
      <c r="A405" s="305">
        <v>634021</v>
      </c>
      <c r="B405" s="299" t="str">
        <f t="shared" si="18"/>
        <v>Schrecksbach</v>
      </c>
      <c r="C405" s="301" t="s">
        <v>164</v>
      </c>
      <c r="D405" s="301" t="s">
        <v>124</v>
      </c>
      <c r="E405" s="299" t="s">
        <v>602</v>
      </c>
    </row>
    <row r="406" spans="1:5">
      <c r="A406" s="305">
        <v>634022</v>
      </c>
      <c r="B406" s="299" t="str">
        <f t="shared" si="18"/>
        <v>Schwalmstadt</v>
      </c>
      <c r="C406" s="301" t="s">
        <v>164</v>
      </c>
      <c r="D406" s="301" t="s">
        <v>124</v>
      </c>
      <c r="E406" s="299" t="s">
        <v>603</v>
      </c>
    </row>
    <row r="407" spans="1:5">
      <c r="A407" s="305">
        <v>634023</v>
      </c>
      <c r="B407" s="299" t="str">
        <f t="shared" si="18"/>
        <v>Schwarzenborn</v>
      </c>
      <c r="C407" s="301" t="s">
        <v>164</v>
      </c>
      <c r="D407" s="301" t="s">
        <v>124</v>
      </c>
      <c r="E407" s="299" t="s">
        <v>604</v>
      </c>
    </row>
    <row r="408" spans="1:5">
      <c r="A408" s="305">
        <v>634024</v>
      </c>
      <c r="B408" s="299" t="str">
        <f t="shared" si="18"/>
        <v>Spangenberg</v>
      </c>
      <c r="C408" s="301" t="s">
        <v>164</v>
      </c>
      <c r="D408" s="301" t="s">
        <v>124</v>
      </c>
      <c r="E408" s="299" t="s">
        <v>605</v>
      </c>
    </row>
    <row r="409" spans="1:5">
      <c r="A409" s="305">
        <v>634025</v>
      </c>
      <c r="B409" s="299" t="str">
        <f t="shared" si="18"/>
        <v>Wabern</v>
      </c>
      <c r="C409" s="301" t="s">
        <v>164</v>
      </c>
      <c r="D409" s="301" t="s">
        <v>124</v>
      </c>
      <c r="E409" s="299" t="s">
        <v>606</v>
      </c>
    </row>
    <row r="410" spans="1:5">
      <c r="A410" s="305">
        <v>634026</v>
      </c>
      <c r="B410" s="299" t="str">
        <f t="shared" si="18"/>
        <v>Willingshausen</v>
      </c>
      <c r="C410" s="301" t="s">
        <v>164</v>
      </c>
      <c r="D410" s="301" t="s">
        <v>124</v>
      </c>
      <c r="E410" s="299" t="s">
        <v>607</v>
      </c>
    </row>
    <row r="411" spans="1:5">
      <c r="A411" s="305">
        <v>634027</v>
      </c>
      <c r="B411" s="299" t="str">
        <f t="shared" si="18"/>
        <v>Bad Zwesten</v>
      </c>
      <c r="C411" s="301" t="s">
        <v>164</v>
      </c>
      <c r="D411" s="301" t="s">
        <v>124</v>
      </c>
      <c r="E411" s="299" t="s">
        <v>608</v>
      </c>
    </row>
    <row r="412" spans="1:5">
      <c r="A412" s="307">
        <v>635000</v>
      </c>
      <c r="B412" s="299"/>
      <c r="C412" s="302" t="s">
        <v>171</v>
      </c>
      <c r="D412" s="301" t="s">
        <v>124</v>
      </c>
    </row>
    <row r="413" spans="1:5">
      <c r="A413" s="305">
        <v>635001</v>
      </c>
      <c r="B413" s="299" t="str">
        <f t="shared" ref="B413:B434" si="19">E413</f>
        <v>Allendorf (Eder)</v>
      </c>
      <c r="C413" s="301" t="s">
        <v>171</v>
      </c>
      <c r="D413" s="301" t="s">
        <v>124</v>
      </c>
      <c r="E413" s="299" t="s">
        <v>609</v>
      </c>
    </row>
    <row r="414" spans="1:5">
      <c r="A414" s="305">
        <v>635002</v>
      </c>
      <c r="B414" s="299" t="str">
        <f t="shared" si="19"/>
        <v>Bad Arolsen</v>
      </c>
      <c r="C414" s="301" t="s">
        <v>171</v>
      </c>
      <c r="D414" s="301" t="s">
        <v>124</v>
      </c>
      <c r="E414" s="299" t="s">
        <v>610</v>
      </c>
    </row>
    <row r="415" spans="1:5">
      <c r="A415" s="305">
        <v>635003</v>
      </c>
      <c r="B415" s="299" t="str">
        <f t="shared" si="19"/>
        <v>Bad Wildungen</v>
      </c>
      <c r="C415" s="301" t="s">
        <v>171</v>
      </c>
      <c r="D415" s="301" t="s">
        <v>124</v>
      </c>
      <c r="E415" s="299" t="s">
        <v>611</v>
      </c>
    </row>
    <row r="416" spans="1:5">
      <c r="A416" s="305">
        <v>635004</v>
      </c>
      <c r="B416" s="299" t="str">
        <f t="shared" si="19"/>
        <v>Battenberg (Eder)</v>
      </c>
      <c r="C416" s="301" t="s">
        <v>171</v>
      </c>
      <c r="D416" s="301" t="s">
        <v>124</v>
      </c>
      <c r="E416" s="299" t="s">
        <v>612</v>
      </c>
    </row>
    <row r="417" spans="1:5">
      <c r="A417" s="305">
        <v>635005</v>
      </c>
      <c r="B417" s="299" t="str">
        <f t="shared" si="19"/>
        <v>Bromskirchen</v>
      </c>
      <c r="C417" s="301" t="s">
        <v>171</v>
      </c>
      <c r="D417" s="301" t="s">
        <v>124</v>
      </c>
      <c r="E417" s="299" t="s">
        <v>613</v>
      </c>
    </row>
    <row r="418" spans="1:5">
      <c r="A418" s="305">
        <v>635006</v>
      </c>
      <c r="B418" s="299" t="str">
        <f t="shared" si="19"/>
        <v>Burgwald</v>
      </c>
      <c r="C418" s="301" t="s">
        <v>171</v>
      </c>
      <c r="D418" s="301" t="s">
        <v>124</v>
      </c>
      <c r="E418" s="299" t="s">
        <v>614</v>
      </c>
    </row>
    <row r="419" spans="1:5">
      <c r="A419" s="305">
        <v>635007</v>
      </c>
      <c r="B419" s="299" t="str">
        <f t="shared" si="19"/>
        <v>Diemelsee</v>
      </c>
      <c r="C419" s="301" t="s">
        <v>171</v>
      </c>
      <c r="D419" s="301" t="s">
        <v>124</v>
      </c>
      <c r="E419" s="299" t="s">
        <v>615</v>
      </c>
    </row>
    <row r="420" spans="1:5">
      <c r="A420" s="305">
        <v>635008</v>
      </c>
      <c r="B420" s="299" t="str">
        <f t="shared" si="19"/>
        <v>Diemelstadt</v>
      </c>
      <c r="C420" s="301" t="s">
        <v>171</v>
      </c>
      <c r="D420" s="301" t="s">
        <v>124</v>
      </c>
      <c r="E420" s="299" t="s">
        <v>616</v>
      </c>
    </row>
    <row r="421" spans="1:5">
      <c r="A421" s="305">
        <v>635009</v>
      </c>
      <c r="B421" s="299" t="str">
        <f t="shared" si="19"/>
        <v>Edertal</v>
      </c>
      <c r="C421" s="301" t="s">
        <v>171</v>
      </c>
      <c r="D421" s="301" t="s">
        <v>124</v>
      </c>
      <c r="E421" s="299" t="s">
        <v>617</v>
      </c>
    </row>
    <row r="422" spans="1:5">
      <c r="A422" s="305">
        <v>635010</v>
      </c>
      <c r="B422" s="299" t="str">
        <f t="shared" si="19"/>
        <v>Frankenau</v>
      </c>
      <c r="C422" s="301" t="s">
        <v>171</v>
      </c>
      <c r="D422" s="301" t="s">
        <v>124</v>
      </c>
      <c r="E422" s="299" t="s">
        <v>618</v>
      </c>
    </row>
    <row r="423" spans="1:5">
      <c r="A423" s="305">
        <v>635011</v>
      </c>
      <c r="B423" s="299" t="str">
        <f t="shared" si="19"/>
        <v>Frankenberg (Eder)</v>
      </c>
      <c r="C423" s="301" t="s">
        <v>171</v>
      </c>
      <c r="D423" s="301" t="s">
        <v>124</v>
      </c>
      <c r="E423" s="299" t="s">
        <v>619</v>
      </c>
    </row>
    <row r="424" spans="1:5">
      <c r="A424" s="305">
        <v>635012</v>
      </c>
      <c r="B424" s="299" t="str">
        <f t="shared" si="19"/>
        <v>Gemünden (Wohra)</v>
      </c>
      <c r="C424" s="301" t="s">
        <v>171</v>
      </c>
      <c r="D424" s="301" t="s">
        <v>124</v>
      </c>
      <c r="E424" s="299" t="s">
        <v>620</v>
      </c>
    </row>
    <row r="425" spans="1:5">
      <c r="A425" s="305">
        <v>635013</v>
      </c>
      <c r="B425" s="299" t="str">
        <f t="shared" si="19"/>
        <v>Haina (Kloster)</v>
      </c>
      <c r="C425" s="301" t="s">
        <v>171</v>
      </c>
      <c r="D425" s="301" t="s">
        <v>124</v>
      </c>
      <c r="E425" s="299" t="s">
        <v>621</v>
      </c>
    </row>
    <row r="426" spans="1:5">
      <c r="A426" s="305">
        <v>635014</v>
      </c>
      <c r="B426" s="299" t="str">
        <f t="shared" si="19"/>
        <v>Hatzfeld (Eder)</v>
      </c>
      <c r="C426" s="301" t="s">
        <v>171</v>
      </c>
      <c r="D426" s="301" t="s">
        <v>124</v>
      </c>
      <c r="E426" s="299" t="s">
        <v>622</v>
      </c>
    </row>
    <row r="427" spans="1:5">
      <c r="A427" s="305">
        <v>635015</v>
      </c>
      <c r="B427" s="299" t="str">
        <f t="shared" si="19"/>
        <v>Korbach</v>
      </c>
      <c r="C427" s="301" t="s">
        <v>171</v>
      </c>
      <c r="D427" s="301" t="s">
        <v>124</v>
      </c>
      <c r="E427" s="299" t="s">
        <v>623</v>
      </c>
    </row>
    <row r="428" spans="1:5">
      <c r="A428" s="305">
        <v>635016</v>
      </c>
      <c r="B428" s="299" t="str">
        <f t="shared" si="19"/>
        <v>Lichtenfels</v>
      </c>
      <c r="C428" s="301" t="s">
        <v>171</v>
      </c>
      <c r="D428" s="301" t="s">
        <v>124</v>
      </c>
      <c r="E428" s="299" t="s">
        <v>624</v>
      </c>
    </row>
    <row r="429" spans="1:5">
      <c r="A429" s="305">
        <v>635017</v>
      </c>
      <c r="B429" s="299" t="str">
        <f t="shared" si="19"/>
        <v>Rosenthal</v>
      </c>
      <c r="C429" s="301" t="s">
        <v>171</v>
      </c>
      <c r="D429" s="301" t="s">
        <v>124</v>
      </c>
      <c r="E429" s="299" t="s">
        <v>625</v>
      </c>
    </row>
    <row r="430" spans="1:5">
      <c r="A430" s="305">
        <v>635018</v>
      </c>
      <c r="B430" s="299" t="str">
        <f t="shared" si="19"/>
        <v>Twistetal</v>
      </c>
      <c r="C430" s="301" t="s">
        <v>171</v>
      </c>
      <c r="D430" s="301" t="s">
        <v>124</v>
      </c>
      <c r="E430" s="299" t="s">
        <v>626</v>
      </c>
    </row>
    <row r="431" spans="1:5">
      <c r="A431" s="305">
        <v>635019</v>
      </c>
      <c r="B431" s="299" t="str">
        <f t="shared" si="19"/>
        <v>Vöhl</v>
      </c>
      <c r="C431" s="301" t="s">
        <v>171</v>
      </c>
      <c r="D431" s="301" t="s">
        <v>124</v>
      </c>
      <c r="E431" s="299" t="s">
        <v>627</v>
      </c>
    </row>
    <row r="432" spans="1:5">
      <c r="A432" s="305">
        <v>635020</v>
      </c>
      <c r="B432" s="299" t="str">
        <f t="shared" si="19"/>
        <v>Volkmarsen</v>
      </c>
      <c r="C432" s="301" t="s">
        <v>171</v>
      </c>
      <c r="D432" s="301" t="s">
        <v>124</v>
      </c>
      <c r="E432" s="299" t="s">
        <v>628</v>
      </c>
    </row>
    <row r="433" spans="1:5">
      <c r="A433" s="305">
        <v>635021</v>
      </c>
      <c r="B433" s="299" t="str">
        <f t="shared" si="19"/>
        <v>Waldeck</v>
      </c>
      <c r="C433" s="301" t="s">
        <v>171</v>
      </c>
      <c r="D433" s="301" t="s">
        <v>124</v>
      </c>
      <c r="E433" s="299" t="s">
        <v>629</v>
      </c>
    </row>
    <row r="434" spans="1:5">
      <c r="A434" s="305">
        <v>635022</v>
      </c>
      <c r="B434" s="299" t="str">
        <f t="shared" si="19"/>
        <v>Willingen (Upland)</v>
      </c>
      <c r="C434" s="301" t="s">
        <v>171</v>
      </c>
      <c r="D434" s="301" t="s">
        <v>124</v>
      </c>
      <c r="E434" s="299" t="s">
        <v>630</v>
      </c>
    </row>
    <row r="435" spans="1:5">
      <c r="A435" s="307">
        <v>636000</v>
      </c>
      <c r="B435" s="299"/>
      <c r="C435" s="302" t="s">
        <v>165</v>
      </c>
      <c r="D435" s="301" t="s">
        <v>124</v>
      </c>
    </row>
    <row r="436" spans="1:5">
      <c r="A436" s="305">
        <v>636001</v>
      </c>
      <c r="B436" s="299" t="str">
        <f t="shared" ref="B436:B451" si="20">E436</f>
        <v>Bad Sooden-Allendorf</v>
      </c>
      <c r="C436" s="301" t="s">
        <v>165</v>
      </c>
      <c r="D436" s="301" t="s">
        <v>124</v>
      </c>
      <c r="E436" s="299" t="s">
        <v>631</v>
      </c>
    </row>
    <row r="437" spans="1:5">
      <c r="A437" s="305">
        <v>636002</v>
      </c>
      <c r="B437" s="299" t="str">
        <f t="shared" si="20"/>
        <v>Berkatal</v>
      </c>
      <c r="C437" s="301" t="s">
        <v>165</v>
      </c>
      <c r="D437" s="301" t="s">
        <v>124</v>
      </c>
      <c r="E437" s="299" t="s">
        <v>632</v>
      </c>
    </row>
    <row r="438" spans="1:5">
      <c r="A438" s="305">
        <v>636003</v>
      </c>
      <c r="B438" s="299" t="str">
        <f t="shared" si="20"/>
        <v>Eschwege</v>
      </c>
      <c r="C438" s="301" t="s">
        <v>165</v>
      </c>
      <c r="D438" s="301" t="s">
        <v>124</v>
      </c>
      <c r="E438" s="299" t="s">
        <v>633</v>
      </c>
    </row>
    <row r="439" spans="1:5">
      <c r="A439" s="305">
        <v>636004</v>
      </c>
      <c r="B439" s="299" t="str">
        <f t="shared" si="20"/>
        <v>Großalmerode</v>
      </c>
      <c r="C439" s="301" t="s">
        <v>165</v>
      </c>
      <c r="D439" s="301" t="s">
        <v>124</v>
      </c>
      <c r="E439" s="299" t="s">
        <v>634</v>
      </c>
    </row>
    <row r="440" spans="1:5">
      <c r="A440" s="305">
        <v>636005</v>
      </c>
      <c r="B440" s="299" t="str">
        <f t="shared" si="20"/>
        <v>Herleshausen</v>
      </c>
      <c r="C440" s="301" t="s">
        <v>165</v>
      </c>
      <c r="D440" s="301" t="s">
        <v>124</v>
      </c>
      <c r="E440" s="299" t="s">
        <v>635</v>
      </c>
    </row>
    <row r="441" spans="1:5">
      <c r="A441" s="305">
        <v>636006</v>
      </c>
      <c r="B441" s="299" t="str">
        <f t="shared" si="20"/>
        <v>Hessisch Lichtenau</v>
      </c>
      <c r="C441" s="301" t="s">
        <v>165</v>
      </c>
      <c r="D441" s="301" t="s">
        <v>124</v>
      </c>
      <c r="E441" s="299" t="s">
        <v>636</v>
      </c>
    </row>
    <row r="442" spans="1:5">
      <c r="A442" s="305">
        <v>636007</v>
      </c>
      <c r="B442" s="299" t="str">
        <f t="shared" si="20"/>
        <v>Meinhard-Grebendorf</v>
      </c>
      <c r="C442" s="301" t="s">
        <v>165</v>
      </c>
      <c r="D442" s="301" t="s">
        <v>124</v>
      </c>
      <c r="E442" s="299" t="s">
        <v>637</v>
      </c>
    </row>
    <row r="443" spans="1:5">
      <c r="A443" s="305">
        <v>636008</v>
      </c>
      <c r="B443" s="299" t="str">
        <f t="shared" si="20"/>
        <v>Meißner</v>
      </c>
      <c r="C443" s="301" t="s">
        <v>165</v>
      </c>
      <c r="D443" s="301" t="s">
        <v>124</v>
      </c>
      <c r="E443" s="299" t="s">
        <v>638</v>
      </c>
    </row>
    <row r="444" spans="1:5">
      <c r="A444" s="305">
        <v>636009</v>
      </c>
      <c r="B444" s="299" t="str">
        <f t="shared" si="20"/>
        <v>Neu-Eichenberg</v>
      </c>
      <c r="C444" s="301" t="s">
        <v>165</v>
      </c>
      <c r="D444" s="301" t="s">
        <v>124</v>
      </c>
      <c r="E444" s="299" t="s">
        <v>639</v>
      </c>
    </row>
    <row r="445" spans="1:5">
      <c r="A445" s="305">
        <v>636010</v>
      </c>
      <c r="B445" s="299" t="str">
        <f t="shared" si="20"/>
        <v>Ringgau</v>
      </c>
      <c r="C445" s="301" t="s">
        <v>165</v>
      </c>
      <c r="D445" s="301" t="s">
        <v>124</v>
      </c>
      <c r="E445" s="299" t="s">
        <v>640</v>
      </c>
    </row>
    <row r="446" spans="1:5">
      <c r="A446" s="305">
        <v>636011</v>
      </c>
      <c r="B446" s="299" t="str">
        <f t="shared" si="20"/>
        <v>Sontra</v>
      </c>
      <c r="C446" s="301" t="s">
        <v>165</v>
      </c>
      <c r="D446" s="301" t="s">
        <v>124</v>
      </c>
      <c r="E446" s="299" t="s">
        <v>641</v>
      </c>
    </row>
    <row r="447" spans="1:5">
      <c r="A447" s="305">
        <v>636012</v>
      </c>
      <c r="B447" s="299" t="str">
        <f t="shared" si="20"/>
        <v>Waldkappel</v>
      </c>
      <c r="C447" s="301" t="s">
        <v>165</v>
      </c>
      <c r="D447" s="301" t="s">
        <v>124</v>
      </c>
      <c r="E447" s="299" t="s">
        <v>642</v>
      </c>
    </row>
    <row r="448" spans="1:5">
      <c r="A448" s="305">
        <v>636013</v>
      </c>
      <c r="B448" s="299" t="str">
        <f t="shared" si="20"/>
        <v>Wanfried</v>
      </c>
      <c r="C448" s="301" t="s">
        <v>165</v>
      </c>
      <c r="D448" s="301" t="s">
        <v>124</v>
      </c>
      <c r="E448" s="299" t="s">
        <v>643</v>
      </c>
    </row>
    <row r="449" spans="1:5">
      <c r="A449" s="305">
        <v>636014</v>
      </c>
      <c r="B449" s="299" t="str">
        <f t="shared" si="20"/>
        <v>Wehretal</v>
      </c>
      <c r="C449" s="301" t="s">
        <v>165</v>
      </c>
      <c r="D449" s="301" t="s">
        <v>124</v>
      </c>
      <c r="E449" s="299" t="s">
        <v>644</v>
      </c>
    </row>
    <row r="450" spans="1:5">
      <c r="A450" s="305">
        <v>636015</v>
      </c>
      <c r="B450" s="299" t="str">
        <f t="shared" si="20"/>
        <v>Weißenborn</v>
      </c>
      <c r="C450" s="301" t="s">
        <v>165</v>
      </c>
      <c r="D450" s="301" t="s">
        <v>124</v>
      </c>
      <c r="E450" s="299" t="s">
        <v>645</v>
      </c>
    </row>
    <row r="451" spans="1:5">
      <c r="A451" s="305">
        <v>636016</v>
      </c>
      <c r="B451" s="299" t="str">
        <f t="shared" si="20"/>
        <v>Witzenhausen</v>
      </c>
      <c r="C451" s="301" t="s">
        <v>165</v>
      </c>
      <c r="D451" s="301" t="s">
        <v>124</v>
      </c>
      <c r="E451" s="299" t="s">
        <v>646</v>
      </c>
    </row>
  </sheetData>
  <sheetProtection algorithmName="SHA-512" hashValue="mj+x4FWFNeq7jQl8Sn/LJIjhuS8EhcjusnlPgbVoHqMFmefED7eDHbMrV4bVAm92AHryqgwRkAxgKrl099Lyzw==" saltValue="KIkBhm9nUpmp2ohS59KJLA==" spinCount="100000" sheet="1" objects="1" scenarios="1"/>
  <sortState ref="A3:F450">
    <sortCondition ref="A3:A450"/>
  </sortState>
  <mergeCells count="1">
    <mergeCell ref="A1:B1"/>
  </mergeCells>
  <pageMargins left="0.78740157480314965" right="0.78740157480314965" top="0.98425196850393704" bottom="0.98425196850393704" header="0.51181102362204722" footer="0.51181102362204722"/>
  <pageSetup paperSize="9" scale="82" pageOrder="overThenDown" orientation="landscape" r:id="rId1"/>
  <headerFooter alignWithMargins="0">
    <oddHeader>&amp;C&amp;P</oddHead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J47"/>
  <sheetViews>
    <sheetView showGridLines="0" zoomScale="55" zoomScaleNormal="55" zoomScalePageLayoutView="55" workbookViewId="0">
      <selection activeCell="G33" sqref="G33"/>
    </sheetView>
  </sheetViews>
  <sheetFormatPr baseColWidth="10" defaultColWidth="11.5" defaultRowHeight="15"/>
  <cols>
    <col min="1" max="1" width="5" style="452" customWidth="1"/>
    <col min="2" max="2" width="6.75" style="452" customWidth="1"/>
    <col min="3" max="3" width="52" style="452" customWidth="1"/>
    <col min="4" max="4" width="1.875" style="452" customWidth="1"/>
    <col min="5" max="5" width="32.875" style="452" bestFit="1" customWidth="1"/>
    <col min="6" max="10" width="32.875" style="452" customWidth="1"/>
    <col min="11" max="16384" width="11.5" style="452"/>
  </cols>
  <sheetData>
    <row r="1" spans="1:10" ht="18" customHeight="1" thickBot="1">
      <c r="A1" s="445" t="s">
        <v>100</v>
      </c>
      <c r="B1" s="446"/>
      <c r="C1" s="447"/>
      <c r="D1" s="448"/>
      <c r="E1" s="449" t="str">
        <f>IF($G$1="","",$G$1-2)</f>
        <v/>
      </c>
      <c r="F1" s="450" t="str">
        <f>IF($G$1="","",$G$1-1)</f>
        <v/>
      </c>
      <c r="G1" s="451" t="str">
        <f>IF(Deckblatt!G7="","",Deckblatt!E14)</f>
        <v/>
      </c>
      <c r="H1" s="450" t="str">
        <f>IF($G$1="","",$G$1+1)</f>
        <v/>
      </c>
      <c r="I1" s="450" t="str">
        <f>IF($G$1="","",$G$1+2)</f>
        <v/>
      </c>
      <c r="J1" s="450" t="str">
        <f>IF($G$1="","",$G$1+3)</f>
        <v/>
      </c>
    </row>
    <row r="2" spans="1:10" ht="18" customHeight="1">
      <c r="B2" s="446"/>
      <c r="D2" s="453"/>
      <c r="E2" s="454" t="str">
        <f>IF(Ergebnishaushalt!E2="Bitte auswählen","",Ergebnishaushalt!E2)</f>
        <v/>
      </c>
      <c r="F2" s="455" t="str">
        <f>IF(Ergebnishaushalt!F2="Bitte auswählen","",Ergebnishaushalt!F2)</f>
        <v/>
      </c>
      <c r="G2" s="456" t="str">
        <f>Ergebnishaushalt!G2</f>
        <v>Haushaltsplan</v>
      </c>
      <c r="H2" s="457" t="s">
        <v>69</v>
      </c>
      <c r="I2" s="458" t="s">
        <v>69</v>
      </c>
      <c r="J2" s="458" t="s">
        <v>69</v>
      </c>
    </row>
    <row r="3" spans="1:10" ht="18" customHeight="1">
      <c r="A3" s="459" t="s">
        <v>83</v>
      </c>
      <c r="B3" s="459" t="s">
        <v>53</v>
      </c>
      <c r="C3" s="460"/>
      <c r="D3" s="461"/>
      <c r="E3" s="970" t="s">
        <v>121</v>
      </c>
      <c r="F3" s="970"/>
      <c r="G3" s="970"/>
      <c r="H3" s="970"/>
      <c r="I3" s="970"/>
      <c r="J3" s="970"/>
    </row>
    <row r="4" spans="1:10" ht="18" customHeight="1">
      <c r="A4" s="462" t="s">
        <v>103</v>
      </c>
      <c r="B4" s="463"/>
      <c r="C4" s="464"/>
      <c r="D4" s="465"/>
      <c r="E4" s="466"/>
      <c r="F4" s="467"/>
      <c r="G4" s="468"/>
      <c r="H4" s="467"/>
      <c r="I4" s="467"/>
      <c r="J4" s="467"/>
    </row>
    <row r="5" spans="1:10" ht="18" customHeight="1" thickBot="1">
      <c r="A5" s="469"/>
      <c r="B5" s="470"/>
      <c r="C5" s="469"/>
      <c r="D5" s="471"/>
      <c r="E5" s="472"/>
      <c r="F5" s="473"/>
      <c r="G5" s="474"/>
      <c r="H5" s="473"/>
      <c r="I5" s="473"/>
      <c r="J5" s="473"/>
    </row>
    <row r="6" spans="1:10" ht="31.5">
      <c r="A6" s="475">
        <v>1</v>
      </c>
      <c r="B6" s="476"/>
      <c r="C6" s="476" t="s">
        <v>84</v>
      </c>
      <c r="D6" s="471"/>
      <c r="E6" s="477"/>
      <c r="F6" s="478"/>
      <c r="G6" s="479"/>
      <c r="H6" s="477"/>
      <c r="I6" s="477"/>
      <c r="J6" s="477"/>
    </row>
    <row r="7" spans="1:10" ht="31.5">
      <c r="A7" s="475">
        <v>2</v>
      </c>
      <c r="B7" s="480"/>
      <c r="C7" s="476" t="s">
        <v>85</v>
      </c>
      <c r="D7" s="481"/>
      <c r="E7" s="477"/>
      <c r="F7" s="478"/>
      <c r="G7" s="482"/>
      <c r="H7" s="477"/>
      <c r="I7" s="477"/>
      <c r="J7" s="483"/>
    </row>
    <row r="8" spans="1:10" ht="31.5">
      <c r="A8" s="484">
        <v>3</v>
      </c>
      <c r="B8" s="485"/>
      <c r="C8" s="486" t="s">
        <v>226</v>
      </c>
      <c r="D8" s="487"/>
      <c r="E8" s="488" t="str">
        <f t="shared" ref="E8:F8" si="0">IF(AND(ISBLANK(E6),ISBLANK(E7)),"",SUM(E6-E7))</f>
        <v/>
      </c>
      <c r="F8" s="489" t="str">
        <f t="shared" si="0"/>
        <v/>
      </c>
      <c r="G8" s="490" t="str">
        <f>IF(AND(ISBLANK(G6),ISBLANK(G7)),"",SUM(G6-G7))</f>
        <v/>
      </c>
      <c r="H8" s="491" t="str">
        <f t="shared" ref="H8:J8" si="1">IF(AND(ISBLANK(H6),ISBLANK(H7)),"",SUM(H6-H7))</f>
        <v/>
      </c>
      <c r="I8" s="492" t="str">
        <f t="shared" si="1"/>
        <v/>
      </c>
      <c r="J8" s="493" t="str">
        <f t="shared" si="1"/>
        <v/>
      </c>
    </row>
    <row r="9" spans="1:10" ht="12" customHeight="1">
      <c r="A9" s="494"/>
      <c r="B9" s="462"/>
      <c r="C9" s="495"/>
      <c r="D9" s="496"/>
      <c r="E9" s="497"/>
      <c r="F9" s="498"/>
      <c r="G9" s="499"/>
      <c r="H9" s="500"/>
      <c r="I9" s="501"/>
      <c r="J9" s="501"/>
    </row>
    <row r="10" spans="1:10" ht="15.75">
      <c r="A10" s="462" t="s">
        <v>101</v>
      </c>
      <c r="B10" s="462"/>
      <c r="C10" s="495"/>
      <c r="D10" s="496"/>
      <c r="E10" s="497"/>
      <c r="F10" s="498"/>
      <c r="G10" s="499"/>
      <c r="H10" s="500"/>
      <c r="I10" s="501"/>
      <c r="J10" s="501"/>
    </row>
    <row r="11" spans="1:10" ht="15.75">
      <c r="A11" s="462"/>
      <c r="C11" s="495"/>
      <c r="D11" s="496"/>
      <c r="E11" s="497"/>
      <c r="F11" s="498"/>
      <c r="G11" s="499"/>
      <c r="H11" s="500"/>
      <c r="I11" s="501"/>
      <c r="J11" s="501"/>
    </row>
    <row r="12" spans="1:10" ht="30">
      <c r="A12" s="502">
        <v>4</v>
      </c>
      <c r="B12" s="503">
        <v>820</v>
      </c>
      <c r="C12" s="504" t="s">
        <v>49</v>
      </c>
      <c r="D12" s="471"/>
      <c r="E12" s="477"/>
      <c r="F12" s="478"/>
      <c r="G12" s="482"/>
      <c r="H12" s="477"/>
      <c r="I12" s="477"/>
      <c r="J12" s="477"/>
    </row>
    <row r="13" spans="1:10" ht="22.5" customHeight="1">
      <c r="A13" s="717" t="s">
        <v>188</v>
      </c>
      <c r="B13" s="506"/>
      <c r="C13" s="507" t="s">
        <v>726</v>
      </c>
      <c r="D13" s="471"/>
      <c r="E13" s="477"/>
      <c r="F13" s="478"/>
      <c r="G13" s="482"/>
      <c r="H13" s="477"/>
      <c r="I13" s="477"/>
      <c r="J13" s="477"/>
    </row>
    <row r="14" spans="1:10" ht="36.75" customHeight="1">
      <c r="A14" s="717" t="s">
        <v>189</v>
      </c>
      <c r="B14" s="503"/>
      <c r="C14" s="507" t="s">
        <v>860</v>
      </c>
      <c r="D14" s="471"/>
      <c r="E14" s="477"/>
      <c r="F14" s="694"/>
      <c r="G14" s="482"/>
      <c r="H14" s="477"/>
      <c r="I14" s="477"/>
      <c r="J14" s="477"/>
    </row>
    <row r="15" spans="1:10" ht="45">
      <c r="A15" s="502">
        <v>5</v>
      </c>
      <c r="B15" s="503">
        <v>822</v>
      </c>
      <c r="C15" s="508" t="s">
        <v>51</v>
      </c>
      <c r="D15" s="471"/>
      <c r="E15" s="477"/>
      <c r="F15" s="478"/>
      <c r="G15" s="482"/>
      <c r="H15" s="477"/>
      <c r="I15" s="477"/>
      <c r="J15" s="477"/>
    </row>
    <row r="16" spans="1:10" ht="30">
      <c r="A16" s="502">
        <v>6</v>
      </c>
      <c r="B16" s="503">
        <v>823</v>
      </c>
      <c r="C16" s="508" t="s">
        <v>71</v>
      </c>
      <c r="D16" s="471"/>
      <c r="E16" s="477"/>
      <c r="F16" s="478"/>
      <c r="G16" s="482"/>
      <c r="H16" s="477"/>
      <c r="I16" s="477"/>
      <c r="J16" s="477"/>
    </row>
    <row r="17" spans="1:10" ht="30.75">
      <c r="A17" s="509"/>
      <c r="B17" s="510"/>
      <c r="C17" s="511" t="s">
        <v>701</v>
      </c>
      <c r="D17" s="471"/>
      <c r="E17" s="477"/>
      <c r="F17" s="478"/>
      <c r="G17" s="482"/>
      <c r="H17" s="477"/>
      <c r="I17" s="477"/>
      <c r="J17" s="477"/>
    </row>
    <row r="18" spans="1:10" ht="35.25" customHeight="1">
      <c r="A18" s="484">
        <v>7</v>
      </c>
      <c r="B18" s="512"/>
      <c r="C18" s="513" t="s">
        <v>86</v>
      </c>
      <c r="D18" s="514"/>
      <c r="E18" s="488" t="str">
        <f t="shared" ref="E18:J18" si="2">IF((E12+E15+E16)&gt;0,(E12+E15+E16),"")</f>
        <v/>
      </c>
      <c r="F18" s="515" t="str">
        <f t="shared" si="2"/>
        <v/>
      </c>
      <c r="G18" s="516" t="str">
        <f t="shared" si="2"/>
        <v/>
      </c>
      <c r="H18" s="517" t="str">
        <f t="shared" si="2"/>
        <v/>
      </c>
      <c r="I18" s="518" t="str">
        <f t="shared" si="2"/>
        <v/>
      </c>
      <c r="J18" s="519" t="str">
        <f t="shared" si="2"/>
        <v/>
      </c>
    </row>
    <row r="19" spans="1:10" ht="30">
      <c r="A19" s="502">
        <v>8</v>
      </c>
      <c r="B19" s="503">
        <v>841</v>
      </c>
      <c r="C19" s="504" t="s">
        <v>87</v>
      </c>
      <c r="D19" s="520"/>
      <c r="E19" s="477"/>
      <c r="F19" s="478"/>
      <c r="G19" s="482"/>
      <c r="H19" s="477"/>
      <c r="I19" s="477"/>
      <c r="J19" s="477"/>
    </row>
    <row r="20" spans="1:10" ht="22.5" customHeight="1">
      <c r="A20" s="502">
        <v>9</v>
      </c>
      <c r="B20" s="503">
        <v>842</v>
      </c>
      <c r="C20" s="508" t="s">
        <v>88</v>
      </c>
      <c r="D20" s="520"/>
      <c r="E20" s="477"/>
      <c r="F20" s="478"/>
      <c r="G20" s="482"/>
      <c r="H20" s="477"/>
      <c r="I20" s="477"/>
      <c r="J20" s="477"/>
    </row>
    <row r="21" spans="1:10" ht="30">
      <c r="A21" s="502">
        <v>10</v>
      </c>
      <c r="B21" s="521" t="s">
        <v>89</v>
      </c>
      <c r="C21" s="508" t="s">
        <v>90</v>
      </c>
      <c r="D21" s="520"/>
      <c r="E21" s="477"/>
      <c r="F21" s="478"/>
      <c r="G21" s="482"/>
      <c r="H21" s="477"/>
      <c r="I21" s="477"/>
      <c r="J21" s="477"/>
    </row>
    <row r="22" spans="1:10" ht="30">
      <c r="A22" s="505">
        <v>11</v>
      </c>
      <c r="B22" s="506">
        <v>844</v>
      </c>
      <c r="C22" s="504" t="s">
        <v>70</v>
      </c>
      <c r="D22" s="520"/>
      <c r="E22" s="477"/>
      <c r="F22" s="478"/>
      <c r="G22" s="482"/>
      <c r="H22" s="477"/>
      <c r="I22" s="477"/>
      <c r="J22" s="522"/>
    </row>
    <row r="23" spans="1:10" ht="15.75">
      <c r="C23" s="523" t="s">
        <v>702</v>
      </c>
      <c r="D23" s="524"/>
      <c r="E23" s="477"/>
      <c r="F23" s="478"/>
      <c r="G23" s="482"/>
      <c r="H23" s="477"/>
      <c r="I23" s="477"/>
      <c r="J23" s="477"/>
    </row>
    <row r="24" spans="1:10" ht="36" customHeight="1">
      <c r="A24" s="525">
        <v>12</v>
      </c>
      <c r="B24" s="526"/>
      <c r="C24" s="527" t="s">
        <v>91</v>
      </c>
      <c r="D24" s="528"/>
      <c r="E24" s="529">
        <f>IF((E19+E20+E21+E22)&gt;=0,(E19+E20+E21+E22),"")</f>
        <v>0</v>
      </c>
      <c r="F24" s="530">
        <f t="shared" ref="F24" si="3">IF((F19+F20+F21+F22)&gt;=0,(F19+F20+F21+F22),"")</f>
        <v>0</v>
      </c>
      <c r="G24" s="531">
        <f>IF((G19+G20+G21+G22)&gt;=0,(G19+G20+G21+G22),"")</f>
        <v>0</v>
      </c>
      <c r="H24" s="532">
        <f t="shared" ref="H24:J24" si="4">IF((H19+H20+H21+H22)&gt;=0,(H19+H20+H21+H22),"")</f>
        <v>0</v>
      </c>
      <c r="I24" s="532">
        <f t="shared" si="4"/>
        <v>0</v>
      </c>
      <c r="J24" s="532">
        <f t="shared" si="4"/>
        <v>0</v>
      </c>
    </row>
    <row r="25" spans="1:10" ht="51.75" customHeight="1">
      <c r="A25" s="533">
        <v>13</v>
      </c>
      <c r="B25" s="534"/>
      <c r="C25" s="535" t="s">
        <v>227</v>
      </c>
      <c r="D25" s="536"/>
      <c r="E25" s="537" t="str">
        <f t="shared" ref="E25:J25" si="5">IF(OR(SUM(E12+E15+E16&lt;&gt;0),SUM(E24&lt;&gt;0)),SUM(E18)-SUM(E24),"")</f>
        <v/>
      </c>
      <c r="F25" s="538" t="str">
        <f t="shared" si="5"/>
        <v/>
      </c>
      <c r="G25" s="539" t="str">
        <f t="shared" si="5"/>
        <v/>
      </c>
      <c r="H25" s="540" t="str">
        <f t="shared" si="5"/>
        <v/>
      </c>
      <c r="I25" s="541" t="str">
        <f t="shared" si="5"/>
        <v/>
      </c>
      <c r="J25" s="542" t="str">
        <f t="shared" si="5"/>
        <v/>
      </c>
    </row>
    <row r="26" spans="1:10" ht="30.75" customHeight="1">
      <c r="A26" s="543">
        <v>14</v>
      </c>
      <c r="B26" s="544"/>
      <c r="C26" s="545" t="s">
        <v>92</v>
      </c>
      <c r="D26" s="487"/>
      <c r="E26" s="546" t="str">
        <f t="shared" ref="E26:J26" si="6">IF(OR(ISNUMBER(E8),ISNUMBER(E25)),SUM(E8)+SUM(E25),"")</f>
        <v/>
      </c>
      <c r="F26" s="547" t="str">
        <f t="shared" si="6"/>
        <v/>
      </c>
      <c r="G26" s="548" t="str">
        <f t="shared" si="6"/>
        <v/>
      </c>
      <c r="H26" s="549" t="str">
        <f t="shared" si="6"/>
        <v/>
      </c>
      <c r="I26" s="550" t="str">
        <f t="shared" si="6"/>
        <v/>
      </c>
      <c r="J26" s="551" t="str">
        <f t="shared" si="6"/>
        <v/>
      </c>
    </row>
    <row r="27" spans="1:10" ht="15.75">
      <c r="A27" s="552"/>
      <c r="B27" s="553"/>
      <c r="C27" s="554"/>
      <c r="D27" s="555"/>
      <c r="E27" s="556"/>
      <c r="F27" s="557"/>
      <c r="G27" s="558"/>
      <c r="H27" s="559"/>
      <c r="I27" s="560"/>
      <c r="J27" s="560"/>
    </row>
    <row r="28" spans="1:10" ht="15.75">
      <c r="A28" s="462" t="s">
        <v>102</v>
      </c>
      <c r="B28" s="553"/>
      <c r="C28" s="554"/>
      <c r="D28" s="555"/>
      <c r="E28" s="556"/>
      <c r="F28" s="557"/>
      <c r="G28" s="558"/>
      <c r="H28" s="559"/>
      <c r="I28" s="560"/>
      <c r="J28" s="560"/>
    </row>
    <row r="29" spans="1:10" ht="15.75">
      <c r="A29" s="462"/>
      <c r="B29" s="553"/>
      <c r="C29" s="554"/>
      <c r="D29" s="555"/>
      <c r="E29" s="556"/>
      <c r="F29" s="557"/>
      <c r="G29" s="558"/>
      <c r="H29" s="559"/>
      <c r="I29" s="560"/>
      <c r="J29" s="560"/>
    </row>
    <row r="30" spans="1:10" ht="30">
      <c r="A30" s="502">
        <v>15</v>
      </c>
      <c r="B30" s="503">
        <v>826</v>
      </c>
      <c r="C30" s="504" t="s">
        <v>93</v>
      </c>
      <c r="D30" s="520"/>
      <c r="E30" s="477"/>
      <c r="F30" s="478"/>
      <c r="G30" s="482"/>
      <c r="H30" s="477"/>
      <c r="I30" s="477"/>
      <c r="J30" s="477"/>
    </row>
    <row r="31" spans="1:10" ht="30.75">
      <c r="A31" s="505"/>
      <c r="B31" s="506"/>
      <c r="C31" s="511" t="s">
        <v>703</v>
      </c>
      <c r="D31" s="561"/>
      <c r="E31" s="477"/>
      <c r="F31" s="478"/>
      <c r="G31" s="482"/>
      <c r="H31" s="477"/>
      <c r="I31" s="477"/>
      <c r="J31" s="477"/>
    </row>
    <row r="32" spans="1:10" ht="54.75" customHeight="1">
      <c r="A32" s="505">
        <v>16</v>
      </c>
      <c r="B32" s="506">
        <v>846</v>
      </c>
      <c r="C32" s="695" t="s">
        <v>727</v>
      </c>
      <c r="D32" s="562"/>
      <c r="E32" s="477"/>
      <c r="F32" s="478"/>
      <c r="G32" s="482"/>
      <c r="H32" s="477"/>
      <c r="I32" s="477"/>
      <c r="J32" s="477"/>
    </row>
    <row r="33" spans="1:10" ht="33" customHeight="1">
      <c r="A33" s="717" t="s">
        <v>747</v>
      </c>
      <c r="B33" s="463"/>
      <c r="C33" s="722" t="s">
        <v>764</v>
      </c>
      <c r="D33" s="696"/>
      <c r="E33" s="477"/>
      <c r="F33" s="694"/>
      <c r="G33" s="482"/>
      <c r="H33" s="477"/>
      <c r="I33" s="477"/>
      <c r="J33" s="477"/>
    </row>
    <row r="34" spans="1:10" ht="33" customHeight="1">
      <c r="A34" s="717" t="s">
        <v>748</v>
      </c>
      <c r="B34" s="463"/>
      <c r="C34" s="723" t="s">
        <v>765</v>
      </c>
      <c r="D34" s="696"/>
      <c r="E34" s="477"/>
      <c r="F34" s="694"/>
      <c r="G34" s="482"/>
      <c r="H34" s="477"/>
      <c r="I34" s="477"/>
      <c r="J34" s="477"/>
    </row>
    <row r="35" spans="1:10" ht="30.75">
      <c r="A35" s="717" t="s">
        <v>749</v>
      </c>
      <c r="B35" s="462"/>
      <c r="C35" s="723" t="s">
        <v>766</v>
      </c>
      <c r="D35" s="563"/>
      <c r="E35" s="477"/>
      <c r="F35" s="478"/>
      <c r="G35" s="482"/>
      <c r="H35" s="477"/>
      <c r="I35" s="477"/>
      <c r="J35" s="477"/>
    </row>
    <row r="36" spans="1:10" ht="53.25" customHeight="1">
      <c r="A36" s="543">
        <v>17</v>
      </c>
      <c r="B36" s="544"/>
      <c r="C36" s="564" t="s">
        <v>228</v>
      </c>
      <c r="D36" s="565"/>
      <c r="E36" s="519" t="str">
        <f>IF(OR(ISNUMBER(E30),ISNUMBER(E32)),SUM(E30-E32),"")</f>
        <v/>
      </c>
      <c r="F36" s="566" t="str">
        <f t="shared" ref="F36:J36" si="7">IF(OR(ISNUMBER(F30),ISNUMBER(F32)),SUM(F30-F32),"")</f>
        <v/>
      </c>
      <c r="G36" s="490" t="str">
        <f t="shared" si="7"/>
        <v/>
      </c>
      <c r="H36" s="518" t="str">
        <f t="shared" si="7"/>
        <v/>
      </c>
      <c r="I36" s="519" t="str">
        <f t="shared" si="7"/>
        <v/>
      </c>
      <c r="J36" s="519" t="str">
        <f t="shared" si="7"/>
        <v/>
      </c>
    </row>
    <row r="37" spans="1:10" ht="5.25" customHeight="1">
      <c r="A37" s="552"/>
      <c r="B37" s="480"/>
      <c r="C37" s="567"/>
      <c r="D37" s="568"/>
      <c r="E37" s="569"/>
      <c r="F37" s="570"/>
      <c r="G37" s="558"/>
      <c r="H37" s="570"/>
      <c r="I37" s="570"/>
      <c r="J37" s="570"/>
    </row>
    <row r="38" spans="1:10" ht="36.75" customHeight="1">
      <c r="A38" s="484">
        <v>18</v>
      </c>
      <c r="B38" s="571"/>
      <c r="C38" s="486" t="s">
        <v>94</v>
      </c>
      <c r="D38" s="565"/>
      <c r="E38" s="572" t="str">
        <f t="shared" ref="E38:J38" si="8">IF(AND(ISNUMBER(E8),ISNUMBER(E25),ISNUMBER(E36)),SUM(E8+E25+E36),"")</f>
        <v/>
      </c>
      <c r="F38" s="573" t="str">
        <f t="shared" si="8"/>
        <v/>
      </c>
      <c r="G38" s="574" t="str">
        <f t="shared" si="8"/>
        <v/>
      </c>
      <c r="H38" s="575" t="str">
        <f t="shared" si="8"/>
        <v/>
      </c>
      <c r="I38" s="576" t="str">
        <f t="shared" si="8"/>
        <v/>
      </c>
      <c r="J38" s="576" t="str">
        <f t="shared" si="8"/>
        <v/>
      </c>
    </row>
    <row r="39" spans="1:10" ht="45">
      <c r="A39" s="475">
        <v>19</v>
      </c>
      <c r="B39" s="506">
        <v>829</v>
      </c>
      <c r="C39" s="577" t="s">
        <v>856</v>
      </c>
      <c r="D39" s="520"/>
      <c r="E39" s="477"/>
      <c r="F39" s="477"/>
      <c r="G39" s="482"/>
      <c r="H39" s="477"/>
      <c r="I39" s="477"/>
      <c r="J39" s="477"/>
    </row>
    <row r="40" spans="1:10" ht="22.5" customHeight="1">
      <c r="A40" s="578"/>
      <c r="B40" s="579"/>
      <c r="C40" s="697" t="s">
        <v>728</v>
      </c>
      <c r="D40" s="580"/>
      <c r="E40" s="477"/>
      <c r="F40" s="477"/>
      <c r="G40" s="482"/>
      <c r="H40" s="477"/>
      <c r="I40" s="477"/>
      <c r="J40" s="477"/>
    </row>
    <row r="41" spans="1:10" ht="49.5" customHeight="1">
      <c r="A41" s="578">
        <v>20</v>
      </c>
      <c r="B41" s="506">
        <v>849</v>
      </c>
      <c r="C41" s="581" t="s">
        <v>855</v>
      </c>
      <c r="D41" s="562"/>
      <c r="E41" s="477"/>
      <c r="F41" s="477"/>
      <c r="G41" s="482"/>
      <c r="H41" s="477"/>
      <c r="I41" s="477"/>
      <c r="J41" s="477"/>
    </row>
    <row r="42" spans="1:10" ht="22.5" customHeight="1">
      <c r="A42" s="578"/>
      <c r="B42" s="579"/>
      <c r="C42" s="697" t="s">
        <v>729</v>
      </c>
      <c r="D42" s="580"/>
      <c r="E42" s="477"/>
      <c r="F42" s="477"/>
      <c r="G42" s="482"/>
      <c r="H42" s="477"/>
      <c r="I42" s="477"/>
      <c r="J42" s="477"/>
    </row>
    <row r="43" spans="1:10" ht="51" customHeight="1">
      <c r="A43" s="484">
        <v>21</v>
      </c>
      <c r="B43" s="582"/>
      <c r="C43" s="583" t="s">
        <v>95</v>
      </c>
      <c r="D43" s="565"/>
      <c r="E43" s="584" t="str">
        <f t="shared" ref="E43:J43" si="9">IF(OR(ISNUMBER(E39),ISNUMBER(E41)),SUM(E39-E41),"")</f>
        <v/>
      </c>
      <c r="F43" s="584" t="str">
        <f t="shared" si="9"/>
        <v/>
      </c>
      <c r="G43" s="585" t="str">
        <f t="shared" si="9"/>
        <v/>
      </c>
      <c r="H43" s="586" t="str">
        <f t="shared" si="9"/>
        <v/>
      </c>
      <c r="I43" s="587" t="str">
        <f t="shared" si="9"/>
        <v/>
      </c>
      <c r="J43" s="587" t="str">
        <f t="shared" si="9"/>
        <v/>
      </c>
    </row>
    <row r="44" spans="1:10" ht="38.25" customHeight="1">
      <c r="A44" s="494">
        <v>22</v>
      </c>
      <c r="B44" s="588"/>
      <c r="C44" s="589" t="s">
        <v>96</v>
      </c>
      <c r="D44" s="496"/>
      <c r="E44" s="590"/>
      <c r="F44" s="591"/>
      <c r="G44" s="592"/>
      <c r="H44" s="477"/>
      <c r="I44" s="477"/>
      <c r="J44" s="477"/>
    </row>
    <row r="45" spans="1:10" ht="15.75">
      <c r="A45" s="484">
        <v>23</v>
      </c>
      <c r="B45" s="593"/>
      <c r="C45" s="583" t="s">
        <v>97</v>
      </c>
      <c r="D45" s="565"/>
      <c r="E45" s="584" t="str">
        <f t="shared" ref="E45:J45" si="10">IF(OR(ISNUMBER(E38),ISNUMBER(E43)),SUM(E38,E43),"")</f>
        <v/>
      </c>
      <c r="F45" s="584" t="str">
        <f t="shared" si="10"/>
        <v/>
      </c>
      <c r="G45" s="585" t="str">
        <f t="shared" si="10"/>
        <v/>
      </c>
      <c r="H45" s="594" t="str">
        <f t="shared" si="10"/>
        <v/>
      </c>
      <c r="I45" s="595" t="str">
        <f t="shared" si="10"/>
        <v/>
      </c>
      <c r="J45" s="595" t="str">
        <f t="shared" si="10"/>
        <v/>
      </c>
    </row>
    <row r="46" spans="1:10" ht="32.25" thickBot="1">
      <c r="A46" s="484">
        <v>24</v>
      </c>
      <c r="B46" s="593"/>
      <c r="C46" s="583" t="s">
        <v>98</v>
      </c>
      <c r="D46" s="565"/>
      <c r="E46" s="584" t="str">
        <f t="shared" ref="E46:J46" si="11">IF(OR(ISNUMBER(E44),ISNUMBER(E45)),SUM(E44,E45),"")</f>
        <v/>
      </c>
      <c r="F46" s="584" t="str">
        <f t="shared" si="11"/>
        <v/>
      </c>
      <c r="G46" s="596" t="str">
        <f t="shared" si="11"/>
        <v/>
      </c>
      <c r="H46" s="575" t="str">
        <f t="shared" si="11"/>
        <v/>
      </c>
      <c r="I46" s="576" t="str">
        <f t="shared" si="11"/>
        <v/>
      </c>
      <c r="J46" s="576" t="str">
        <f t="shared" si="11"/>
        <v/>
      </c>
    </row>
    <row r="47" spans="1:10" ht="12" customHeight="1">
      <c r="A47" s="462"/>
      <c r="D47" s="597"/>
      <c r="E47" s="598"/>
      <c r="F47" s="598"/>
      <c r="G47" s="598"/>
      <c r="H47" s="598"/>
      <c r="I47" s="598"/>
      <c r="J47" s="598"/>
    </row>
  </sheetData>
  <sheetProtection algorithmName="SHA-512" hashValue="XxUZoiQh/pdgl3PYtfCBiosWbmyDqaL65vO3j8Bxnkfc6/wITA9hoBb6kn7tNA+1jv/AUO0TakHIrBO2jBQg0A==" saltValue="pbGoPCmngcylz8ypRDSpyQ==" spinCount="100000" sheet="1" objects="1" scenarios="1"/>
  <dataConsolidate/>
  <mergeCells count="1">
    <mergeCell ref="E3:J3"/>
  </mergeCells>
  <dataValidations xWindow="520" yWindow="250" count="3">
    <dataValidation allowBlank="1" showErrorMessage="1" prompt="Bitte auswählen, ob die Angaben auf einem endgültigem oder auf einem einem vorläufigen Rechnungsergebnis oder hilfsweise auf einem (Nachtrags-) Planwert beruhen." sqref="E2"/>
    <dataValidation allowBlank="1" showErrorMessage="1" prompt="Bitte auswählen, ob die Angaben auf dem Stand des Haushaltsplans oder eines Nachtragshaushaltsplans beruhen." sqref="F2"/>
    <dataValidation type="decimal" errorStyle="information" allowBlank="1" showErrorMessage="1" error="Grundsätzlich sind nur positive Werte zulässig. Bitte prüfen Sie daher, ob der einzutragende Wert ausnahmsweise nach der Planung bzw. dem Rechnungsergebnis negativ sein muss. " sqref="E6:J7 E19:J23 E30:J35 E39:J42 E12:J17">
      <formula1>0</formula1>
      <formula2>999999999999999000</formula2>
    </dataValidation>
  </dataValidations>
  <pageMargins left="0.7" right="0.7" top="0.75" bottom="0.75" header="0.3" footer="0.3"/>
  <pageSetup paperSize="9" scale="36"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L107"/>
  <sheetViews>
    <sheetView showGridLines="0" zoomScale="85" zoomScaleNormal="85" workbookViewId="0">
      <selection activeCell="D8" sqref="D8"/>
    </sheetView>
  </sheetViews>
  <sheetFormatPr baseColWidth="10" defaultColWidth="8.875" defaultRowHeight="15.75"/>
  <cols>
    <col min="1" max="1" width="4.25" style="37" customWidth="1"/>
    <col min="2" max="2" width="13.75" style="37" customWidth="1"/>
    <col min="3" max="3" width="22.625" style="37" customWidth="1"/>
    <col min="4" max="4" width="24.875" style="37" customWidth="1"/>
    <col min="5" max="5" width="26.125" style="37" customWidth="1"/>
    <col min="6" max="6" width="20.625" style="37" customWidth="1"/>
    <col min="7" max="7" width="4.625" style="136" customWidth="1"/>
    <col min="8" max="9" width="13.75" style="37" customWidth="1"/>
    <col min="10" max="11" width="8.5" style="37" customWidth="1"/>
    <col min="12" max="12" width="20" style="37" customWidth="1"/>
    <col min="13" max="16384" width="8.875" style="37"/>
  </cols>
  <sheetData>
    <row r="1" spans="1:12">
      <c r="A1" s="64"/>
      <c r="B1" s="65"/>
      <c r="C1" s="65"/>
      <c r="D1" s="60"/>
      <c r="E1" s="59"/>
      <c r="F1" s="61"/>
      <c r="G1" s="975"/>
      <c r="H1" s="975"/>
      <c r="I1" s="51"/>
      <c r="J1" s="53"/>
    </row>
    <row r="2" spans="1:12" ht="19.5" customHeight="1">
      <c r="A2" s="64"/>
      <c r="B2" s="204" t="str">
        <f>IF(Deckblatt!G7="","Verbindlichkeiten aus Krediten, Liquiditätskrediten sowie gegenüber dem Sondervermögen Hessenkasse zu Beginn des Haushaltsjahres",CONCATENATE("Verbindlichkeiten aus Krediten, Liquiditätskrediten sowie gegenüber dem Sondervermögen Hessenkasse  zu Beginn des Haushaltsjahres ", Deckblatt!E14))</f>
        <v>Verbindlichkeiten aus Krediten, Liquiditätskrediten sowie gegenüber dem Sondervermögen Hessenkasse zu Beginn des Haushaltsjahres</v>
      </c>
      <c r="C2" s="204"/>
      <c r="D2" s="206"/>
      <c r="E2" s="59"/>
      <c r="F2" s="61"/>
      <c r="G2" s="61"/>
      <c r="H2" s="693" t="s">
        <v>47</v>
      </c>
      <c r="J2" s="53"/>
    </row>
    <row r="3" spans="1:12" ht="20.25" customHeight="1">
      <c r="A3" s="64"/>
      <c r="B3" s="200" t="s">
        <v>695</v>
      </c>
      <c r="C3" s="276"/>
      <c r="D3" s="277"/>
      <c r="E3" s="278"/>
      <c r="F3" s="190"/>
      <c r="G3" s="55" t="s">
        <v>153</v>
      </c>
      <c r="H3" s="971" t="s">
        <v>737</v>
      </c>
      <c r="I3" s="972"/>
      <c r="J3" s="972"/>
      <c r="K3" s="972"/>
      <c r="L3" s="884"/>
    </row>
    <row r="4" spans="1:12" ht="21" customHeight="1">
      <c r="A4" s="64"/>
      <c r="B4" s="200" t="s">
        <v>705</v>
      </c>
      <c r="C4" s="276"/>
      <c r="D4" s="277"/>
      <c r="E4" s="278"/>
      <c r="F4" s="334"/>
      <c r="G4" s="55" t="s">
        <v>153</v>
      </c>
      <c r="H4" s="971" t="s">
        <v>738</v>
      </c>
      <c r="I4" s="972"/>
      <c r="J4" s="972"/>
      <c r="K4" s="972"/>
      <c r="L4" s="884"/>
    </row>
    <row r="5" spans="1:12" ht="19.5" customHeight="1">
      <c r="A5" s="64"/>
      <c r="B5" s="980" t="s">
        <v>696</v>
      </c>
      <c r="C5" s="980"/>
      <c r="D5" s="980"/>
      <c r="E5" s="980"/>
      <c r="F5" s="190"/>
      <c r="G5" s="55" t="s">
        <v>153</v>
      </c>
      <c r="H5" s="971" t="s">
        <v>737</v>
      </c>
      <c r="I5" s="972"/>
      <c r="J5" s="972"/>
      <c r="K5" s="972"/>
      <c r="L5" s="884"/>
    </row>
    <row r="6" spans="1:12" ht="21.75" customHeight="1">
      <c r="A6" s="64"/>
      <c r="B6" s="980" t="s">
        <v>722</v>
      </c>
      <c r="C6" s="980"/>
      <c r="D6" s="980"/>
      <c r="E6" s="980"/>
      <c r="F6" s="334"/>
      <c r="G6" s="55" t="s">
        <v>153</v>
      </c>
      <c r="H6" s="971" t="s">
        <v>738</v>
      </c>
      <c r="I6" s="972"/>
      <c r="J6" s="972"/>
      <c r="K6" s="972"/>
      <c r="L6" s="884"/>
    </row>
    <row r="7" spans="1:12" ht="18.75" customHeight="1">
      <c r="A7" s="64"/>
      <c r="B7" s="973" t="s">
        <v>739</v>
      </c>
      <c r="C7" s="973"/>
      <c r="D7" s="973"/>
      <c r="E7" s="974"/>
      <c r="F7" s="330" t="str">
        <f>IF(AND(ISBLANK(F3),ISBLANK(F4),ISBLANK(F5),ISBLANK(F6)),"",SUM(F3+F4+F5+F6))</f>
        <v/>
      </c>
      <c r="G7" s="55"/>
      <c r="H7" s="705"/>
      <c r="I7" s="706"/>
      <c r="J7" s="706"/>
      <c r="K7" s="706"/>
      <c r="L7" s="701"/>
    </row>
    <row r="8" spans="1:12" ht="21.75" customHeight="1">
      <c r="A8" s="64"/>
      <c r="B8" s="200" t="s">
        <v>721</v>
      </c>
      <c r="C8" s="276"/>
      <c r="D8" s="277"/>
      <c r="E8" s="278"/>
      <c r="F8" s="334"/>
      <c r="G8" s="55" t="s">
        <v>153</v>
      </c>
      <c r="H8" s="971" t="s">
        <v>715</v>
      </c>
      <c r="I8" s="972"/>
      <c r="J8" s="972"/>
      <c r="K8" s="884"/>
      <c r="L8" s="884"/>
    </row>
    <row r="9" spans="1:12" ht="25.5" customHeight="1">
      <c r="A9" s="64"/>
      <c r="B9" s="982" t="s">
        <v>724</v>
      </c>
      <c r="C9" s="982"/>
      <c r="D9" s="982"/>
      <c r="E9" s="870"/>
      <c r="F9" s="330" t="str">
        <f>IF(AND(ISBLANK(F3),ISBLANK(F4),ISBLANK(F5),ISBLANK(F6),ISBLANK(F8)),"",SUM(F3+F4+F5+F6+F8))</f>
        <v/>
      </c>
      <c r="G9" s="55" t="s">
        <v>153</v>
      </c>
      <c r="H9" s="62"/>
      <c r="I9" s="51"/>
      <c r="J9" s="53"/>
    </row>
    <row r="10" spans="1:12" ht="18.75" customHeight="1">
      <c r="A10" s="64"/>
      <c r="B10" s="204" t="str">
        <f>IF(Deckblatt!G7="","im Haushaltsjahr veranschlagte Kreditaufnahmen",CONCATENATE("im Haushaltsjahr ",Deckblatt!E14," veranschlagte Kreditaufnahmen"))</f>
        <v>im Haushaltsjahr veranschlagte Kreditaufnahmen</v>
      </c>
      <c r="C10" s="196"/>
      <c r="D10" s="197"/>
      <c r="E10" s="199"/>
      <c r="F10" s="51"/>
      <c r="G10" s="133"/>
      <c r="H10" s="97"/>
      <c r="I10" s="51"/>
      <c r="J10" s="52"/>
    </row>
    <row r="11" spans="1:12">
      <c r="A11" s="64"/>
      <c r="B11" s="195" t="s">
        <v>154</v>
      </c>
      <c r="C11" s="196"/>
      <c r="D11" s="197"/>
      <c r="E11" s="198"/>
      <c r="F11" s="190"/>
      <c r="G11" s="137" t="s">
        <v>153</v>
      </c>
      <c r="H11" s="62"/>
      <c r="I11" s="51"/>
      <c r="J11" s="53"/>
    </row>
    <row r="12" spans="1:12">
      <c r="A12" s="64"/>
      <c r="B12" s="979" t="s">
        <v>229</v>
      </c>
      <c r="C12" s="884"/>
      <c r="D12" s="884"/>
      <c r="E12" s="884"/>
      <c r="F12" s="190"/>
      <c r="G12" s="137" t="s">
        <v>153</v>
      </c>
      <c r="H12" s="62"/>
      <c r="I12" s="51"/>
      <c r="J12" s="53"/>
    </row>
    <row r="13" spans="1:12" ht="18" customHeight="1">
      <c r="A13" s="64"/>
      <c r="B13" s="204" t="str">
        <f>IF(Deckblatt!G7="","im Haushaltsjahr veranschlagte Tilgungen für Kredite sowie Auszahlungen an das Sondervermögen Hessenkasse",CONCATENATE("im Haushaltsjahr ",Deckblatt!E14," veranschlagte Tilgungen für Kredite sowie Auszahlungen an das Sondervermögen Hessenkasse"))</f>
        <v>im Haushaltsjahr veranschlagte Tilgungen für Kredite sowie Auszahlungen an das Sondervermögen Hessenkasse</v>
      </c>
      <c r="C13" s="196"/>
      <c r="D13" s="197"/>
      <c r="E13" s="199"/>
      <c r="F13" s="51"/>
      <c r="G13" s="133"/>
      <c r="H13" s="97"/>
      <c r="I13" s="51"/>
      <c r="J13" s="52"/>
    </row>
    <row r="14" spans="1:12" ht="19.5" customHeight="1">
      <c r="A14" s="64"/>
      <c r="B14" s="195" t="s">
        <v>155</v>
      </c>
      <c r="C14" s="196"/>
      <c r="D14" s="197"/>
      <c r="E14" s="198"/>
      <c r="F14" s="698" t="str">
        <f>IF(Finanzhaushalt!G33&gt;0,Finanzhaushalt!G33,"")</f>
        <v/>
      </c>
      <c r="G14" s="137" t="s">
        <v>153</v>
      </c>
      <c r="H14" s="971" t="s">
        <v>750</v>
      </c>
      <c r="I14" s="972"/>
      <c r="J14" s="972"/>
      <c r="K14" s="972"/>
      <c r="L14" s="884"/>
    </row>
    <row r="15" spans="1:12">
      <c r="A15" s="64"/>
      <c r="B15" s="195" t="s">
        <v>230</v>
      </c>
      <c r="C15" s="196"/>
      <c r="D15" s="197"/>
      <c r="E15" s="198"/>
      <c r="F15" s="190"/>
      <c r="G15" s="137" t="s">
        <v>153</v>
      </c>
      <c r="H15" s="62"/>
      <c r="I15" s="51"/>
      <c r="J15" s="53"/>
    </row>
    <row r="16" spans="1:12">
      <c r="A16" s="64"/>
      <c r="B16" s="195" t="s">
        <v>156</v>
      </c>
      <c r="C16" s="196"/>
      <c r="D16" s="197"/>
      <c r="E16" s="198"/>
      <c r="F16" s="190"/>
      <c r="G16" s="137" t="s">
        <v>153</v>
      </c>
      <c r="H16" s="971"/>
      <c r="I16" s="972"/>
      <c r="J16" s="972"/>
      <c r="K16" s="972"/>
      <c r="L16" s="884"/>
    </row>
    <row r="17" spans="1:12">
      <c r="A17" s="64"/>
      <c r="B17" s="195" t="s">
        <v>231</v>
      </c>
      <c r="C17" s="196"/>
      <c r="D17" s="197"/>
      <c r="E17" s="198"/>
      <c r="F17" s="190"/>
      <c r="G17" s="137" t="s">
        <v>153</v>
      </c>
      <c r="H17" s="62"/>
      <c r="I17" s="51"/>
      <c r="J17" s="53"/>
    </row>
    <row r="18" spans="1:12" ht="20.25" customHeight="1">
      <c r="A18" s="64"/>
      <c r="B18" s="721" t="s">
        <v>725</v>
      </c>
      <c r="C18" s="196"/>
      <c r="D18" s="197"/>
      <c r="E18" s="198"/>
      <c r="F18" s="698" t="str">
        <f>IF(Finanzhaushalt!G35&gt;0,Finanzhaushalt!G35,"")</f>
        <v/>
      </c>
      <c r="G18" s="137" t="s">
        <v>153</v>
      </c>
      <c r="H18" s="971" t="s">
        <v>751</v>
      </c>
      <c r="I18" s="972"/>
      <c r="J18" s="972"/>
      <c r="K18" s="972"/>
      <c r="L18" s="884"/>
    </row>
    <row r="19" spans="1:12" ht="26.25" customHeight="1">
      <c r="A19" s="64"/>
      <c r="B19" s="204" t="str">
        <f>IF(Deckblatt!G7="","Verbindlichkeiten aus Krediten, Liquiditätskrediten sowie gegenüber dem Sondervermögen Hessenkasse am Ende des Haushaltsjahres",CONCATENATE("Verbindlichkeiten aus Krediten, Liquiditätskrediten sowie gegenüber dem Sondervermögen Hessenkasse am Ende des Haushaltsjahres ", Deckblatt!E14))</f>
        <v>Verbindlichkeiten aus Krediten, Liquiditätskrediten sowie gegenüber dem Sondervermögen Hessenkasse am Ende des Haushaltsjahres</v>
      </c>
      <c r="C19" s="204"/>
      <c r="D19" s="205"/>
      <c r="E19" s="198"/>
      <c r="F19" s="94"/>
      <c r="G19" s="133"/>
      <c r="H19" s="62"/>
      <c r="I19" s="51"/>
      <c r="J19" s="53"/>
    </row>
    <row r="20" spans="1:12" ht="12.75" customHeight="1">
      <c r="A20" s="64"/>
      <c r="B20" s="200" t="s">
        <v>698</v>
      </c>
      <c r="C20" s="201"/>
      <c r="D20" s="197"/>
      <c r="E20" s="199"/>
      <c r="F20" s="353" t="str">
        <f>IF(AND(ISBLANK(F3),ISBLANK(F11),ISBLANK(Finanzhaushalt!G33),ISBLANK(F16)),"",SUM(F3+F11-Finanzhaushalt!G33-F16))</f>
        <v/>
      </c>
      <c r="G20" s="55" t="s">
        <v>153</v>
      </c>
      <c r="H20" s="353"/>
      <c r="I20" s="51"/>
      <c r="J20" s="53"/>
    </row>
    <row r="21" spans="1:12" ht="27.75" customHeight="1">
      <c r="A21" s="64"/>
      <c r="B21" s="980" t="s">
        <v>239</v>
      </c>
      <c r="C21" s="980"/>
      <c r="D21" s="980"/>
      <c r="E21" s="199"/>
      <c r="F21" s="354" t="str">
        <f>IF(AND(ISBLANK(F5),ISBLANK(F12),ISBLANK(F15),ISBLANK(F17)),"",SUM(F5+F12-F15-F17))</f>
        <v/>
      </c>
      <c r="G21" s="55" t="s">
        <v>153</v>
      </c>
      <c r="H21" s="62"/>
      <c r="I21" s="51"/>
      <c r="J21" s="53"/>
    </row>
    <row r="22" spans="1:12" s="193" customFormat="1" ht="25.5" customHeight="1">
      <c r="A22" s="191"/>
      <c r="B22" s="980" t="s">
        <v>240</v>
      </c>
      <c r="C22" s="981"/>
      <c r="D22" s="978"/>
      <c r="E22" s="199"/>
      <c r="F22" s="353" t="str">
        <f>IF(AND(ISBLANK(F3),ISBLANK(F5),ISBLANK(F11),ISBLANK(F12),ISBLANK(Finanzhaushalt!G33),ISBLANK(F15),ISBLANK(F16),ISBLANK(F17)),"",SUM(F20,F21))</f>
        <v/>
      </c>
      <c r="G22" s="192" t="s">
        <v>153</v>
      </c>
      <c r="H22" s="331"/>
      <c r="I22" s="332"/>
      <c r="J22" s="333"/>
    </row>
    <row r="23" spans="1:12" ht="15.75" customHeight="1">
      <c r="A23" s="64"/>
      <c r="B23" s="202" t="s">
        <v>716</v>
      </c>
      <c r="C23" s="203"/>
      <c r="D23" s="197"/>
      <c r="E23" s="199"/>
      <c r="F23" s="190"/>
      <c r="G23" s="55" t="s">
        <v>153</v>
      </c>
      <c r="H23" s="62"/>
      <c r="I23" s="51"/>
      <c r="J23" s="53"/>
    </row>
    <row r="24" spans="1:12" ht="15.75" customHeight="1">
      <c r="A24" s="64"/>
      <c r="B24" s="202" t="s">
        <v>717</v>
      </c>
      <c r="C24" s="203"/>
      <c r="D24" s="197"/>
      <c r="E24" s="199"/>
      <c r="F24" s="190"/>
      <c r="G24" s="55" t="s">
        <v>153</v>
      </c>
      <c r="H24" s="62"/>
      <c r="I24" s="51"/>
      <c r="J24" s="53"/>
    </row>
    <row r="25" spans="1:12" ht="15.75" customHeight="1">
      <c r="A25" s="64"/>
      <c r="B25" s="202" t="s">
        <v>718</v>
      </c>
      <c r="C25" s="203"/>
      <c r="D25" s="197"/>
      <c r="E25" s="199"/>
      <c r="F25" s="190"/>
      <c r="G25" s="55" t="s">
        <v>153</v>
      </c>
      <c r="H25" s="335" t="str">
        <f>IF(AND((F4&gt;0),ISBLANK(F25)),"Bitte voraussichtlichen Stand der Liquiditätskredite zum Ende des Haushaltsjahres angeben.","")</f>
        <v/>
      </c>
      <c r="I25" s="51"/>
      <c r="J25" s="53"/>
    </row>
    <row r="26" spans="1:12" ht="15.75" customHeight="1">
      <c r="A26" s="64"/>
      <c r="B26" s="202" t="s">
        <v>719</v>
      </c>
      <c r="C26" s="203"/>
      <c r="D26" s="197"/>
      <c r="E26" s="199"/>
      <c r="F26" s="190"/>
      <c r="G26" s="55" t="s">
        <v>153</v>
      </c>
      <c r="H26" s="335" t="str">
        <f>IF(AND((F6&gt;0),ISBLANK(F26)),"Bitte voraussichtlichen Stand der Liquiditätskredite zum Ende des Haushaltsjahres angeben.","")</f>
        <v/>
      </c>
      <c r="I26" s="51"/>
      <c r="J26" s="53"/>
    </row>
    <row r="27" spans="1:12" ht="25.5" customHeight="1">
      <c r="A27" s="64"/>
      <c r="B27" s="976" t="s">
        <v>720</v>
      </c>
      <c r="C27" s="977"/>
      <c r="D27" s="978"/>
      <c r="E27" s="199"/>
      <c r="F27" s="330" t="str">
        <f>IF(AND(ISBLANK(F25),ISBLANK(F26)),"",SUM(F25+F26))</f>
        <v/>
      </c>
      <c r="G27" s="55" t="s">
        <v>153</v>
      </c>
      <c r="H27" s="62"/>
      <c r="I27" s="51"/>
      <c r="J27" s="53"/>
    </row>
    <row r="28" spans="1:12" ht="18.75" customHeight="1">
      <c r="A28" s="64"/>
      <c r="B28" s="202" t="s">
        <v>723</v>
      </c>
      <c r="C28" s="688"/>
      <c r="D28" s="689"/>
      <c r="E28" s="199"/>
      <c r="F28" s="330" t="str">
        <f>IF(AND(ISBLANK(F8),ISBLANK(Finanzhaushalt!G35)),"",SUM(F8-Finanzhaushalt!G35))</f>
        <v/>
      </c>
      <c r="G28" s="55"/>
      <c r="H28" s="62"/>
      <c r="I28" s="51"/>
      <c r="J28" s="53"/>
    </row>
    <row r="29" spans="1:12" ht="7.5" customHeight="1">
      <c r="A29" s="64"/>
      <c r="B29" s="100"/>
      <c r="C29" s="65"/>
      <c r="D29" s="60"/>
      <c r="E29" s="51"/>
      <c r="F29" s="692"/>
      <c r="G29" s="55"/>
      <c r="H29" s="62"/>
      <c r="I29" s="51"/>
      <c r="J29" s="53"/>
    </row>
    <row r="30" spans="1:12" ht="15.75" customHeight="1">
      <c r="A30" s="64"/>
      <c r="B30" s="204" t="str">
        <f>IF(Deckblatt!G7="","Voraussichtlicher Zahlungsmittelbestand am Ende des Haushaltsjahres",CONCATENATE("Voraussichtlicher Zahlungsmittelbestand am Ende des Haushaltsjahres ", Deckblatt!E14))</f>
        <v>Voraussichtlicher Zahlungsmittelbestand am Ende des Haushaltsjahres</v>
      </c>
      <c r="C30" s="66"/>
      <c r="D30" s="66"/>
      <c r="E30" s="52"/>
      <c r="F30" s="691" t="str">
        <f>Finanzhaushalt!G46</f>
        <v/>
      </c>
      <c r="G30" s="55" t="s">
        <v>153</v>
      </c>
      <c r="H30" s="59"/>
      <c r="I30" s="53"/>
      <c r="J30" s="51"/>
      <c r="K30" s="53"/>
    </row>
    <row r="73" spans="1:11">
      <c r="A73" s="54"/>
      <c r="B73" s="54"/>
      <c r="C73" s="54"/>
      <c r="D73" s="54"/>
      <c r="E73" s="54"/>
      <c r="F73" s="54"/>
      <c r="G73" s="135"/>
      <c r="H73" s="54"/>
      <c r="I73" s="54"/>
      <c r="J73" s="54"/>
      <c r="K73" s="54"/>
    </row>
    <row r="74" spans="1:11">
      <c r="A74" s="54"/>
      <c r="B74" s="54"/>
      <c r="C74" s="54"/>
      <c r="D74" s="54"/>
      <c r="E74" s="54"/>
      <c r="F74" s="54"/>
      <c r="G74" s="135"/>
      <c r="H74" s="54"/>
      <c r="I74" s="54"/>
      <c r="J74" s="54"/>
      <c r="K74" s="54"/>
    </row>
    <row r="75" spans="1:11">
      <c r="A75" s="54"/>
      <c r="B75" s="54"/>
      <c r="C75" s="54"/>
      <c r="D75" s="54"/>
      <c r="E75" s="54"/>
      <c r="F75" s="54"/>
      <c r="G75" s="135"/>
      <c r="H75" s="54"/>
      <c r="I75" s="54"/>
      <c r="J75" s="54"/>
      <c r="K75" s="54"/>
    </row>
    <row r="76" spans="1:11">
      <c r="A76" s="54"/>
      <c r="B76" s="54"/>
      <c r="C76" s="54"/>
      <c r="D76" s="54"/>
      <c r="E76" s="54"/>
      <c r="F76" s="54"/>
      <c r="G76" s="135"/>
      <c r="H76" s="54"/>
      <c r="I76" s="54"/>
      <c r="J76" s="54"/>
      <c r="K76" s="54"/>
    </row>
    <row r="77" spans="1:11">
      <c r="A77" s="54"/>
      <c r="B77" s="54"/>
      <c r="C77" s="54"/>
      <c r="D77" s="54"/>
      <c r="E77" s="54"/>
      <c r="F77" s="54"/>
      <c r="G77" s="135"/>
      <c r="H77" s="54"/>
      <c r="I77" s="54"/>
      <c r="J77" s="54"/>
      <c r="K77" s="54"/>
    </row>
    <row r="78" spans="1:11">
      <c r="A78" s="54"/>
      <c r="B78" s="54"/>
      <c r="C78" s="54"/>
      <c r="D78" s="54"/>
      <c r="E78" s="54"/>
      <c r="F78" s="54"/>
      <c r="G78" s="135"/>
      <c r="H78" s="54"/>
      <c r="I78" s="54"/>
      <c r="J78" s="54"/>
      <c r="K78" s="54"/>
    </row>
    <row r="79" spans="1:11">
      <c r="A79" s="54"/>
      <c r="B79" s="54"/>
      <c r="C79" s="54"/>
      <c r="D79" s="54"/>
      <c r="E79" s="54"/>
      <c r="F79" s="54"/>
      <c r="G79" s="135"/>
      <c r="H79" s="54"/>
      <c r="I79" s="54"/>
      <c r="J79" s="54"/>
      <c r="K79" s="54"/>
    </row>
    <row r="80" spans="1:11">
      <c r="A80" s="54"/>
      <c r="B80" s="54"/>
      <c r="C80" s="54"/>
      <c r="D80" s="54"/>
      <c r="E80" s="54"/>
      <c r="F80" s="54"/>
      <c r="G80" s="135"/>
      <c r="H80" s="54"/>
      <c r="I80" s="54"/>
      <c r="J80" s="54"/>
      <c r="K80" s="54"/>
    </row>
    <row r="81" spans="1:11">
      <c r="A81" s="54"/>
      <c r="B81" s="54"/>
      <c r="C81" s="54"/>
      <c r="D81" s="54"/>
      <c r="E81" s="54"/>
      <c r="F81" s="54"/>
      <c r="G81" s="135"/>
      <c r="H81" s="54"/>
      <c r="I81" s="54"/>
      <c r="J81" s="54"/>
      <c r="K81" s="54"/>
    </row>
    <row r="82" spans="1:11">
      <c r="A82" s="54"/>
      <c r="B82" s="54"/>
      <c r="C82" s="54"/>
      <c r="D82" s="54"/>
      <c r="E82" s="54"/>
      <c r="F82" s="54"/>
      <c r="G82" s="135"/>
      <c r="H82" s="54"/>
      <c r="I82" s="54"/>
      <c r="J82" s="54"/>
      <c r="K82" s="54"/>
    </row>
    <row r="83" spans="1:11">
      <c r="A83" s="54"/>
      <c r="B83" s="54"/>
      <c r="C83" s="54"/>
      <c r="D83" s="54"/>
      <c r="E83" s="54"/>
      <c r="F83" s="54"/>
      <c r="G83" s="135"/>
      <c r="H83" s="54"/>
      <c r="I83" s="54"/>
      <c r="J83" s="54"/>
      <c r="K83" s="54"/>
    </row>
    <row r="84" spans="1:11">
      <c r="A84" s="54"/>
      <c r="B84" s="54"/>
      <c r="C84" s="54"/>
      <c r="D84" s="54"/>
      <c r="E84" s="54"/>
      <c r="F84" s="54"/>
      <c r="G84" s="135"/>
      <c r="H84" s="54"/>
      <c r="I84" s="54"/>
      <c r="J84" s="54"/>
      <c r="K84" s="54"/>
    </row>
    <row r="85" spans="1:11">
      <c r="A85" s="54"/>
      <c r="B85" s="54"/>
      <c r="C85" s="54"/>
      <c r="D85" s="54"/>
      <c r="E85" s="54"/>
      <c r="F85" s="54"/>
      <c r="G85" s="135"/>
      <c r="H85" s="54"/>
      <c r="I85" s="54"/>
      <c r="J85" s="54"/>
      <c r="K85" s="54"/>
    </row>
    <row r="86" spans="1:11">
      <c r="A86" s="54"/>
      <c r="B86" s="54"/>
      <c r="C86" s="54"/>
      <c r="D86" s="54"/>
      <c r="E86" s="54"/>
      <c r="F86" s="54"/>
      <c r="G86" s="135"/>
      <c r="H86" s="54"/>
      <c r="I86" s="54"/>
      <c r="J86" s="54"/>
      <c r="K86" s="54"/>
    </row>
    <row r="87" spans="1:11">
      <c r="A87" s="54"/>
      <c r="B87" s="54"/>
      <c r="C87" s="54"/>
      <c r="D87" s="54"/>
      <c r="E87" s="54"/>
      <c r="F87" s="54"/>
      <c r="G87" s="135"/>
      <c r="H87" s="54"/>
      <c r="I87" s="54"/>
      <c r="J87" s="54"/>
      <c r="K87" s="54"/>
    </row>
    <row r="88" spans="1:11">
      <c r="A88" s="54"/>
      <c r="B88" s="54"/>
      <c r="C88" s="54"/>
      <c r="D88" s="54"/>
      <c r="E88" s="54"/>
      <c r="F88" s="54"/>
      <c r="G88" s="135"/>
      <c r="H88" s="54"/>
      <c r="I88" s="54"/>
      <c r="J88" s="54"/>
      <c r="K88" s="54"/>
    </row>
    <row r="89" spans="1:11">
      <c r="A89" s="54"/>
      <c r="B89" s="54"/>
      <c r="C89" s="54"/>
      <c r="D89" s="54"/>
      <c r="E89" s="54"/>
      <c r="F89" s="54"/>
      <c r="G89" s="135"/>
      <c r="H89" s="54"/>
      <c r="I89" s="54"/>
      <c r="J89" s="54"/>
      <c r="K89" s="54"/>
    </row>
    <row r="90" spans="1:11">
      <c r="A90" s="54"/>
      <c r="B90" s="54"/>
      <c r="C90" s="54"/>
      <c r="D90" s="54"/>
      <c r="E90" s="54"/>
      <c r="F90" s="54"/>
      <c r="G90" s="135"/>
      <c r="H90" s="54"/>
      <c r="I90" s="54"/>
      <c r="J90" s="54"/>
      <c r="K90" s="54"/>
    </row>
    <row r="91" spans="1:11">
      <c r="A91" s="54"/>
      <c r="B91" s="54"/>
      <c r="C91" s="54"/>
      <c r="D91" s="54"/>
      <c r="E91" s="54"/>
      <c r="F91" s="54"/>
      <c r="G91" s="135"/>
      <c r="H91" s="54"/>
      <c r="I91" s="54"/>
      <c r="J91" s="54"/>
      <c r="K91" s="54"/>
    </row>
    <row r="92" spans="1:11">
      <c r="A92" s="54"/>
      <c r="B92" s="54"/>
      <c r="C92" s="54"/>
      <c r="D92" s="54"/>
      <c r="E92" s="54"/>
      <c r="F92" s="54"/>
      <c r="G92" s="135"/>
      <c r="H92" s="54"/>
      <c r="I92" s="54"/>
      <c r="J92" s="54"/>
      <c r="K92" s="54"/>
    </row>
    <row r="93" spans="1:11">
      <c r="A93" s="54"/>
      <c r="B93" s="54"/>
      <c r="C93" s="54"/>
      <c r="D93" s="54"/>
      <c r="E93" s="54"/>
      <c r="F93" s="54"/>
      <c r="G93" s="135"/>
      <c r="H93" s="54"/>
      <c r="I93" s="54"/>
      <c r="J93" s="54"/>
      <c r="K93" s="54"/>
    </row>
    <row r="94" spans="1:11">
      <c r="A94" s="54"/>
      <c r="B94" s="54"/>
      <c r="C94" s="54"/>
      <c r="D94" s="54"/>
      <c r="E94" s="54"/>
      <c r="F94" s="54"/>
      <c r="G94" s="135"/>
      <c r="H94" s="54"/>
      <c r="I94" s="54"/>
      <c r="J94" s="54"/>
      <c r="K94" s="54"/>
    </row>
    <row r="95" spans="1:11">
      <c r="A95" s="54"/>
      <c r="B95" s="54"/>
      <c r="C95" s="54"/>
      <c r="D95" s="54"/>
      <c r="E95" s="54"/>
      <c r="F95" s="54"/>
      <c r="G95" s="135"/>
      <c r="H95" s="54"/>
      <c r="I95" s="54"/>
      <c r="J95" s="54"/>
      <c r="K95" s="54"/>
    </row>
    <row r="96" spans="1:11">
      <c r="A96" s="54"/>
      <c r="B96" s="54"/>
      <c r="C96" s="54"/>
      <c r="D96" s="54"/>
      <c r="E96" s="54"/>
      <c r="F96" s="54"/>
      <c r="G96" s="135"/>
      <c r="H96" s="54"/>
      <c r="I96" s="54"/>
      <c r="J96" s="54"/>
      <c r="K96" s="54"/>
    </row>
    <row r="97" spans="1:11">
      <c r="A97" s="54"/>
      <c r="B97" s="54"/>
      <c r="C97" s="54"/>
      <c r="D97" s="54"/>
      <c r="E97" s="54"/>
      <c r="F97" s="54"/>
      <c r="G97" s="135"/>
      <c r="H97" s="54"/>
      <c r="I97" s="54"/>
      <c r="J97" s="54"/>
      <c r="K97" s="54"/>
    </row>
    <row r="98" spans="1:11">
      <c r="A98" s="54"/>
      <c r="B98" s="54"/>
      <c r="C98" s="54"/>
      <c r="D98" s="54"/>
      <c r="E98" s="54"/>
      <c r="F98" s="54"/>
      <c r="G98" s="135"/>
      <c r="H98" s="54"/>
      <c r="I98" s="54"/>
      <c r="J98" s="54"/>
      <c r="K98" s="54"/>
    </row>
    <row r="99" spans="1:11">
      <c r="A99" s="54"/>
      <c r="B99" s="54"/>
      <c r="C99" s="54"/>
      <c r="D99" s="54"/>
      <c r="E99" s="54"/>
      <c r="F99" s="54"/>
      <c r="G99" s="135"/>
      <c r="H99" s="54"/>
      <c r="I99" s="54"/>
      <c r="J99" s="54"/>
      <c r="K99" s="54"/>
    </row>
    <row r="100" spans="1:11">
      <c r="A100" s="54"/>
      <c r="B100" s="54"/>
      <c r="C100" s="54"/>
      <c r="D100" s="54"/>
      <c r="E100" s="54"/>
      <c r="F100" s="54"/>
      <c r="G100" s="135"/>
      <c r="H100" s="54"/>
      <c r="I100" s="54"/>
      <c r="J100" s="54"/>
      <c r="K100" s="54"/>
    </row>
    <row r="101" spans="1:11">
      <c r="A101" s="54"/>
      <c r="B101" s="54"/>
      <c r="C101" s="54"/>
      <c r="D101" s="54"/>
      <c r="E101" s="54"/>
      <c r="F101" s="54"/>
      <c r="G101" s="135"/>
      <c r="H101" s="54"/>
      <c r="I101" s="54"/>
      <c r="J101" s="54"/>
      <c r="K101" s="54"/>
    </row>
    <row r="102" spans="1:11">
      <c r="A102" s="54"/>
      <c r="B102" s="54"/>
      <c r="C102" s="54"/>
      <c r="D102" s="54"/>
      <c r="E102" s="54"/>
      <c r="F102" s="54"/>
      <c r="G102" s="135"/>
      <c r="H102" s="54"/>
      <c r="I102" s="54"/>
      <c r="J102" s="54"/>
      <c r="K102" s="54"/>
    </row>
    <row r="103" spans="1:11">
      <c r="A103" s="54"/>
      <c r="B103" s="54"/>
      <c r="C103" s="54"/>
      <c r="D103" s="54"/>
      <c r="E103" s="54"/>
      <c r="F103" s="54"/>
      <c r="G103" s="135"/>
      <c r="H103" s="54"/>
      <c r="I103" s="54"/>
      <c r="J103" s="54"/>
      <c r="K103" s="54"/>
    </row>
    <row r="104" spans="1:11">
      <c r="A104" s="54"/>
      <c r="B104" s="54"/>
      <c r="C104" s="54"/>
      <c r="D104" s="54"/>
      <c r="E104" s="54"/>
      <c r="F104" s="54"/>
      <c r="G104" s="135"/>
      <c r="H104" s="54"/>
      <c r="I104" s="54"/>
      <c r="J104" s="54"/>
      <c r="K104" s="54"/>
    </row>
    <row r="105" spans="1:11">
      <c r="A105" s="54"/>
      <c r="B105" s="54"/>
      <c r="C105" s="54"/>
      <c r="D105" s="54"/>
      <c r="E105" s="54"/>
      <c r="F105" s="54"/>
      <c r="G105" s="135"/>
      <c r="H105" s="54"/>
      <c r="I105" s="54"/>
      <c r="J105" s="54"/>
      <c r="K105" s="54"/>
    </row>
    <row r="106" spans="1:11">
      <c r="A106" s="54"/>
      <c r="B106" s="54"/>
      <c r="C106" s="54"/>
      <c r="D106" s="54"/>
      <c r="E106" s="54"/>
      <c r="F106" s="54"/>
      <c r="G106" s="135"/>
      <c r="H106" s="54"/>
      <c r="I106" s="54"/>
      <c r="J106" s="54"/>
      <c r="K106" s="54"/>
    </row>
    <row r="107" spans="1:11">
      <c r="A107" s="54"/>
      <c r="B107" s="54"/>
      <c r="C107" s="54"/>
      <c r="D107" s="54"/>
      <c r="E107" s="54"/>
      <c r="F107" s="54"/>
      <c r="G107" s="135"/>
      <c r="H107" s="54"/>
      <c r="I107" s="54"/>
      <c r="J107" s="54"/>
      <c r="K107" s="54"/>
    </row>
  </sheetData>
  <sheetProtection algorithmName="SHA-512" hashValue="MYvWed1qEryHlQZReaMYgsLWjNYdzczSXiu1SYSMxkzChUA1VXmHZP3J3UFiZewz85WYMPJnOehRJtYpQU85TA==" saltValue="VHaTHxfrTNZO/v3uYsS0zA==" spinCount="100000" sheet="1" objects="1" scenarios="1"/>
  <dataConsolidate/>
  <mergeCells count="17">
    <mergeCell ref="B27:D27"/>
    <mergeCell ref="B12:E12"/>
    <mergeCell ref="B5:E5"/>
    <mergeCell ref="B21:D21"/>
    <mergeCell ref="B22:D22"/>
    <mergeCell ref="B6:E6"/>
    <mergeCell ref="B9:E9"/>
    <mergeCell ref="H14:L14"/>
    <mergeCell ref="B7:E7"/>
    <mergeCell ref="H18:L18"/>
    <mergeCell ref="H16:L16"/>
    <mergeCell ref="G1:H1"/>
    <mergeCell ref="H3:L3"/>
    <mergeCell ref="H5:L5"/>
    <mergeCell ref="H4:L4"/>
    <mergeCell ref="H6:L6"/>
    <mergeCell ref="H8:L8"/>
  </mergeCells>
  <phoneticPr fontId="17" type="noConversion"/>
  <dataValidations disablePrompts="1" count="3">
    <dataValidation type="decimal" errorStyle="information" allowBlank="1" showErrorMessage="1" error="Bitte nur positive Beträge eintragen. " sqref="F3:F4 F8">
      <formula1>0</formula1>
      <formula2>9999999999999990000</formula2>
    </dataValidation>
    <dataValidation type="decimal" errorStyle="information" allowBlank="1" showErrorMessage="1" error="Bitte nur positive Beträge eintragen.  " sqref="F23:F26 F11:F12 F5:F6 F14:F17">
      <formula1>0</formula1>
      <formula2>99999999999999900</formula2>
    </dataValidation>
    <dataValidation type="decimal" errorStyle="information" allowBlank="1" error="Bitte nur positive Beträge eintragen.  " sqref="F7 F18">
      <formula1>0</formula1>
      <formula2>99999999999999900</formula2>
    </dataValidation>
  </dataValidations>
  <printOptions horizontalCentered="1" verticalCentered="1" gridLinesSet="0"/>
  <pageMargins left="0.59055118110236227" right="0.59055118110236227" top="0.6692913385826772" bottom="0.6692913385826772" header="0.39370078740157483" footer="0.43307086614173229"/>
  <pageSetup paperSize="9" scale="68"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C33"/>
  <sheetViews>
    <sheetView showGridLines="0" zoomScale="40" zoomScaleNormal="40" zoomScaleSheetLayoutView="10" workbookViewId="0">
      <selection activeCell="B30" sqref="B30:G30"/>
    </sheetView>
  </sheetViews>
  <sheetFormatPr baseColWidth="10" defaultRowHeight="40.5" customHeight="1"/>
  <cols>
    <col min="1" max="1" width="9" style="120" bestFit="1" customWidth="1"/>
    <col min="2" max="2" width="54.875" style="120" bestFit="1" customWidth="1"/>
    <col min="3" max="3" width="19.625" style="120" bestFit="1" customWidth="1"/>
    <col min="4" max="4" width="18.25" style="120" bestFit="1" customWidth="1"/>
    <col min="5" max="5" width="21.25" style="120" bestFit="1" customWidth="1"/>
    <col min="6" max="6" width="18.25" style="120" bestFit="1" customWidth="1"/>
    <col min="7" max="7" width="19.625" style="120" bestFit="1" customWidth="1"/>
    <col min="8" max="8" width="18.25" style="120" bestFit="1" customWidth="1"/>
    <col min="9" max="9" width="21.25" style="120" bestFit="1" customWidth="1"/>
    <col min="10" max="10" width="18.25" style="120" bestFit="1" customWidth="1"/>
    <col min="11" max="11" width="19.625" style="120" bestFit="1" customWidth="1"/>
    <col min="12" max="12" width="18.25" style="120" bestFit="1" customWidth="1"/>
    <col min="13" max="13" width="21.25" style="120" bestFit="1" customWidth="1"/>
    <col min="14" max="14" width="18.25" style="120" bestFit="1" customWidth="1"/>
    <col min="15" max="15" width="19.625" style="120" bestFit="1" customWidth="1"/>
    <col min="16" max="16" width="18.25" style="120" bestFit="1" customWidth="1"/>
    <col min="17" max="17" width="21.25" style="120" bestFit="1" customWidth="1"/>
    <col min="18" max="18" width="18.25" style="120" bestFit="1" customWidth="1"/>
    <col min="19" max="19" width="19.625" style="129" bestFit="1" customWidth="1"/>
    <col min="20" max="20" width="18.25" style="129" bestFit="1" customWidth="1"/>
    <col min="21" max="21" width="21.25" style="129" bestFit="1" customWidth="1"/>
    <col min="22" max="22" width="18.25" style="129" bestFit="1" customWidth="1"/>
    <col min="23" max="23" width="19.625" style="129" bestFit="1" customWidth="1"/>
    <col min="24" max="24" width="18.25" style="129" bestFit="1" customWidth="1"/>
    <col min="25" max="25" width="21.25" style="129" bestFit="1" customWidth="1"/>
    <col min="26" max="26" width="18.25" style="129" bestFit="1" customWidth="1"/>
    <col min="27" max="27" width="14.625" style="120" hidden="1" customWidth="1"/>
    <col min="28" max="28" width="27.375" style="120" hidden="1" customWidth="1"/>
    <col min="29" max="268" width="11" style="120"/>
    <col min="269" max="269" width="4.875" style="120" customWidth="1"/>
    <col min="270" max="270" width="41.5" style="120" customWidth="1"/>
    <col min="271" max="282" width="15.625" style="120" customWidth="1"/>
    <col min="283" max="284" width="0" style="120" hidden="1" customWidth="1"/>
    <col min="285" max="524" width="11" style="120"/>
    <col min="525" max="525" width="4.875" style="120" customWidth="1"/>
    <col min="526" max="526" width="41.5" style="120" customWidth="1"/>
    <col min="527" max="538" width="15.625" style="120" customWidth="1"/>
    <col min="539" max="540" width="0" style="120" hidden="1" customWidth="1"/>
    <col min="541" max="780" width="11" style="120"/>
    <col min="781" max="781" width="4.875" style="120" customWidth="1"/>
    <col min="782" max="782" width="41.5" style="120" customWidth="1"/>
    <col min="783" max="794" width="15.625" style="120" customWidth="1"/>
    <col min="795" max="796" width="0" style="120" hidden="1" customWidth="1"/>
    <col min="797" max="1036" width="11" style="120"/>
    <col min="1037" max="1037" width="4.875" style="120" customWidth="1"/>
    <col min="1038" max="1038" width="41.5" style="120" customWidth="1"/>
    <col min="1039" max="1050" width="15.625" style="120" customWidth="1"/>
    <col min="1051" max="1052" width="0" style="120" hidden="1" customWidth="1"/>
    <col min="1053" max="1292" width="11" style="120"/>
    <col min="1293" max="1293" width="4.875" style="120" customWidth="1"/>
    <col min="1294" max="1294" width="41.5" style="120" customWidth="1"/>
    <col min="1295" max="1306" width="15.625" style="120" customWidth="1"/>
    <col min="1307" max="1308" width="0" style="120" hidden="1" customWidth="1"/>
    <col min="1309" max="1548" width="11" style="120"/>
    <col min="1549" max="1549" width="4.875" style="120" customWidth="1"/>
    <col min="1550" max="1550" width="41.5" style="120" customWidth="1"/>
    <col min="1551" max="1562" width="15.625" style="120" customWidth="1"/>
    <col min="1563" max="1564" width="0" style="120" hidden="1" customWidth="1"/>
    <col min="1565" max="1804" width="11" style="120"/>
    <col min="1805" max="1805" width="4.875" style="120" customWidth="1"/>
    <col min="1806" max="1806" width="41.5" style="120" customWidth="1"/>
    <col min="1807" max="1818" width="15.625" style="120" customWidth="1"/>
    <col min="1819" max="1820" width="0" style="120" hidden="1" customWidth="1"/>
    <col min="1821" max="2060" width="11" style="120"/>
    <col min="2061" max="2061" width="4.875" style="120" customWidth="1"/>
    <col min="2062" max="2062" width="41.5" style="120" customWidth="1"/>
    <col min="2063" max="2074" width="15.625" style="120" customWidth="1"/>
    <col min="2075" max="2076" width="0" style="120" hidden="1" customWidth="1"/>
    <col min="2077" max="2316" width="11" style="120"/>
    <col min="2317" max="2317" width="4.875" style="120" customWidth="1"/>
    <col min="2318" max="2318" width="41.5" style="120" customWidth="1"/>
    <col min="2319" max="2330" width="15.625" style="120" customWidth="1"/>
    <col min="2331" max="2332" width="0" style="120" hidden="1" customWidth="1"/>
    <col min="2333" max="2572" width="11" style="120"/>
    <col min="2573" max="2573" width="4.875" style="120" customWidth="1"/>
    <col min="2574" max="2574" width="41.5" style="120" customWidth="1"/>
    <col min="2575" max="2586" width="15.625" style="120" customWidth="1"/>
    <col min="2587" max="2588" width="0" style="120" hidden="1" customWidth="1"/>
    <col min="2589" max="2828" width="11" style="120"/>
    <col min="2829" max="2829" width="4.875" style="120" customWidth="1"/>
    <col min="2830" max="2830" width="41.5" style="120" customWidth="1"/>
    <col min="2831" max="2842" width="15.625" style="120" customWidth="1"/>
    <col min="2843" max="2844" width="0" style="120" hidden="1" customWidth="1"/>
    <col min="2845" max="3084" width="11" style="120"/>
    <col min="3085" max="3085" width="4.875" style="120" customWidth="1"/>
    <col min="3086" max="3086" width="41.5" style="120" customWidth="1"/>
    <col min="3087" max="3098" width="15.625" style="120" customWidth="1"/>
    <col min="3099" max="3100" width="0" style="120" hidden="1" customWidth="1"/>
    <col min="3101" max="3340" width="11" style="120"/>
    <col min="3341" max="3341" width="4.875" style="120" customWidth="1"/>
    <col min="3342" max="3342" width="41.5" style="120" customWidth="1"/>
    <col min="3343" max="3354" width="15.625" style="120" customWidth="1"/>
    <col min="3355" max="3356" width="0" style="120" hidden="1" customWidth="1"/>
    <col min="3357" max="3596" width="11" style="120"/>
    <col min="3597" max="3597" width="4.875" style="120" customWidth="1"/>
    <col min="3598" max="3598" width="41.5" style="120" customWidth="1"/>
    <col min="3599" max="3610" width="15.625" style="120" customWidth="1"/>
    <col min="3611" max="3612" width="0" style="120" hidden="1" customWidth="1"/>
    <col min="3613" max="3852" width="11" style="120"/>
    <col min="3853" max="3853" width="4.875" style="120" customWidth="1"/>
    <col min="3854" max="3854" width="41.5" style="120" customWidth="1"/>
    <col min="3855" max="3866" width="15.625" style="120" customWidth="1"/>
    <col min="3867" max="3868" width="0" style="120" hidden="1" customWidth="1"/>
    <col min="3869" max="4108" width="11" style="120"/>
    <col min="4109" max="4109" width="4.875" style="120" customWidth="1"/>
    <col min="4110" max="4110" width="41.5" style="120" customWidth="1"/>
    <col min="4111" max="4122" width="15.625" style="120" customWidth="1"/>
    <col min="4123" max="4124" width="0" style="120" hidden="1" customWidth="1"/>
    <col min="4125" max="4364" width="11" style="120"/>
    <col min="4365" max="4365" width="4.875" style="120" customWidth="1"/>
    <col min="4366" max="4366" width="41.5" style="120" customWidth="1"/>
    <col min="4367" max="4378" width="15.625" style="120" customWidth="1"/>
    <col min="4379" max="4380" width="0" style="120" hidden="1" customWidth="1"/>
    <col min="4381" max="4620" width="11" style="120"/>
    <col min="4621" max="4621" width="4.875" style="120" customWidth="1"/>
    <col min="4622" max="4622" width="41.5" style="120" customWidth="1"/>
    <col min="4623" max="4634" width="15.625" style="120" customWidth="1"/>
    <col min="4635" max="4636" width="0" style="120" hidden="1" customWidth="1"/>
    <col min="4637" max="4876" width="11" style="120"/>
    <col min="4877" max="4877" width="4.875" style="120" customWidth="1"/>
    <col min="4878" max="4878" width="41.5" style="120" customWidth="1"/>
    <col min="4879" max="4890" width="15.625" style="120" customWidth="1"/>
    <col min="4891" max="4892" width="0" style="120" hidden="1" customWidth="1"/>
    <col min="4893" max="5132" width="11" style="120"/>
    <col min="5133" max="5133" width="4.875" style="120" customWidth="1"/>
    <col min="5134" max="5134" width="41.5" style="120" customWidth="1"/>
    <col min="5135" max="5146" width="15.625" style="120" customWidth="1"/>
    <col min="5147" max="5148" width="0" style="120" hidden="1" customWidth="1"/>
    <col min="5149" max="5388" width="11" style="120"/>
    <col min="5389" max="5389" width="4.875" style="120" customWidth="1"/>
    <col min="5390" max="5390" width="41.5" style="120" customWidth="1"/>
    <col min="5391" max="5402" width="15.625" style="120" customWidth="1"/>
    <col min="5403" max="5404" width="0" style="120" hidden="1" customWidth="1"/>
    <col min="5405" max="5644" width="11" style="120"/>
    <col min="5645" max="5645" width="4.875" style="120" customWidth="1"/>
    <col min="5646" max="5646" width="41.5" style="120" customWidth="1"/>
    <col min="5647" max="5658" width="15.625" style="120" customWidth="1"/>
    <col min="5659" max="5660" width="0" style="120" hidden="1" customWidth="1"/>
    <col min="5661" max="5900" width="11" style="120"/>
    <col min="5901" max="5901" width="4.875" style="120" customWidth="1"/>
    <col min="5902" max="5902" width="41.5" style="120" customWidth="1"/>
    <col min="5903" max="5914" width="15.625" style="120" customWidth="1"/>
    <col min="5915" max="5916" width="0" style="120" hidden="1" customWidth="1"/>
    <col min="5917" max="6156" width="11" style="120"/>
    <col min="6157" max="6157" width="4.875" style="120" customWidth="1"/>
    <col min="6158" max="6158" width="41.5" style="120" customWidth="1"/>
    <col min="6159" max="6170" width="15.625" style="120" customWidth="1"/>
    <col min="6171" max="6172" width="0" style="120" hidden="1" customWidth="1"/>
    <col min="6173" max="6412" width="11" style="120"/>
    <col min="6413" max="6413" width="4.875" style="120" customWidth="1"/>
    <col min="6414" max="6414" width="41.5" style="120" customWidth="1"/>
    <col min="6415" max="6426" width="15.625" style="120" customWidth="1"/>
    <col min="6427" max="6428" width="0" style="120" hidden="1" customWidth="1"/>
    <col min="6429" max="6668" width="11" style="120"/>
    <col min="6669" max="6669" width="4.875" style="120" customWidth="1"/>
    <col min="6670" max="6670" width="41.5" style="120" customWidth="1"/>
    <col min="6671" max="6682" width="15.625" style="120" customWidth="1"/>
    <col min="6683" max="6684" width="0" style="120" hidden="1" customWidth="1"/>
    <col min="6685" max="6924" width="11" style="120"/>
    <col min="6925" max="6925" width="4.875" style="120" customWidth="1"/>
    <col min="6926" max="6926" width="41.5" style="120" customWidth="1"/>
    <col min="6927" max="6938" width="15.625" style="120" customWidth="1"/>
    <col min="6939" max="6940" width="0" style="120" hidden="1" customWidth="1"/>
    <col min="6941" max="7180" width="11" style="120"/>
    <col min="7181" max="7181" width="4.875" style="120" customWidth="1"/>
    <col min="7182" max="7182" width="41.5" style="120" customWidth="1"/>
    <col min="7183" max="7194" width="15.625" style="120" customWidth="1"/>
    <col min="7195" max="7196" width="0" style="120" hidden="1" customWidth="1"/>
    <col min="7197" max="7436" width="11" style="120"/>
    <col min="7437" max="7437" width="4.875" style="120" customWidth="1"/>
    <col min="7438" max="7438" width="41.5" style="120" customWidth="1"/>
    <col min="7439" max="7450" width="15.625" style="120" customWidth="1"/>
    <col min="7451" max="7452" width="0" style="120" hidden="1" customWidth="1"/>
    <col min="7453" max="7692" width="11" style="120"/>
    <col min="7693" max="7693" width="4.875" style="120" customWidth="1"/>
    <col min="7694" max="7694" width="41.5" style="120" customWidth="1"/>
    <col min="7695" max="7706" width="15.625" style="120" customWidth="1"/>
    <col min="7707" max="7708" width="0" style="120" hidden="1" customWidth="1"/>
    <col min="7709" max="7948" width="11" style="120"/>
    <col min="7949" max="7949" width="4.875" style="120" customWidth="1"/>
    <col min="7950" max="7950" width="41.5" style="120" customWidth="1"/>
    <col min="7951" max="7962" width="15.625" style="120" customWidth="1"/>
    <col min="7963" max="7964" width="0" style="120" hidden="1" customWidth="1"/>
    <col min="7965" max="8204" width="11" style="120"/>
    <col min="8205" max="8205" width="4.875" style="120" customWidth="1"/>
    <col min="8206" max="8206" width="41.5" style="120" customWidth="1"/>
    <col min="8207" max="8218" width="15.625" style="120" customWidth="1"/>
    <col min="8219" max="8220" width="0" style="120" hidden="1" customWidth="1"/>
    <col min="8221" max="8460" width="11" style="120"/>
    <col min="8461" max="8461" width="4.875" style="120" customWidth="1"/>
    <col min="8462" max="8462" width="41.5" style="120" customWidth="1"/>
    <col min="8463" max="8474" width="15.625" style="120" customWidth="1"/>
    <col min="8475" max="8476" width="0" style="120" hidden="1" customWidth="1"/>
    <col min="8477" max="8716" width="11" style="120"/>
    <col min="8717" max="8717" width="4.875" style="120" customWidth="1"/>
    <col min="8718" max="8718" width="41.5" style="120" customWidth="1"/>
    <col min="8719" max="8730" width="15.625" style="120" customWidth="1"/>
    <col min="8731" max="8732" width="0" style="120" hidden="1" customWidth="1"/>
    <col min="8733" max="8972" width="11" style="120"/>
    <col min="8973" max="8973" width="4.875" style="120" customWidth="1"/>
    <col min="8974" max="8974" width="41.5" style="120" customWidth="1"/>
    <col min="8975" max="8986" width="15.625" style="120" customWidth="1"/>
    <col min="8987" max="8988" width="0" style="120" hidden="1" customWidth="1"/>
    <col min="8989" max="9228" width="11" style="120"/>
    <col min="9229" max="9229" width="4.875" style="120" customWidth="1"/>
    <col min="9230" max="9230" width="41.5" style="120" customWidth="1"/>
    <col min="9231" max="9242" width="15.625" style="120" customWidth="1"/>
    <col min="9243" max="9244" width="0" style="120" hidden="1" customWidth="1"/>
    <col min="9245" max="9484" width="11" style="120"/>
    <col min="9485" max="9485" width="4.875" style="120" customWidth="1"/>
    <col min="9486" max="9486" width="41.5" style="120" customWidth="1"/>
    <col min="9487" max="9498" width="15.625" style="120" customWidth="1"/>
    <col min="9499" max="9500" width="0" style="120" hidden="1" customWidth="1"/>
    <col min="9501" max="9740" width="11" style="120"/>
    <col min="9741" max="9741" width="4.875" style="120" customWidth="1"/>
    <col min="9742" max="9742" width="41.5" style="120" customWidth="1"/>
    <col min="9743" max="9754" width="15.625" style="120" customWidth="1"/>
    <col min="9755" max="9756" width="0" style="120" hidden="1" customWidth="1"/>
    <col min="9757" max="9996" width="11" style="120"/>
    <col min="9997" max="9997" width="4.875" style="120" customWidth="1"/>
    <col min="9998" max="9998" width="41.5" style="120" customWidth="1"/>
    <col min="9999" max="10010" width="15.625" style="120" customWidth="1"/>
    <col min="10011" max="10012" width="0" style="120" hidden="1" customWidth="1"/>
    <col min="10013" max="10252" width="11" style="120"/>
    <col min="10253" max="10253" width="4.875" style="120" customWidth="1"/>
    <col min="10254" max="10254" width="41.5" style="120" customWidth="1"/>
    <col min="10255" max="10266" width="15.625" style="120" customWidth="1"/>
    <col min="10267" max="10268" width="0" style="120" hidden="1" customWidth="1"/>
    <col min="10269" max="10508" width="11" style="120"/>
    <col min="10509" max="10509" width="4.875" style="120" customWidth="1"/>
    <col min="10510" max="10510" width="41.5" style="120" customWidth="1"/>
    <col min="10511" max="10522" width="15.625" style="120" customWidth="1"/>
    <col min="10523" max="10524" width="0" style="120" hidden="1" customWidth="1"/>
    <col min="10525" max="10764" width="11" style="120"/>
    <col min="10765" max="10765" width="4.875" style="120" customWidth="1"/>
    <col min="10766" max="10766" width="41.5" style="120" customWidth="1"/>
    <col min="10767" max="10778" width="15.625" style="120" customWidth="1"/>
    <col min="10779" max="10780" width="0" style="120" hidden="1" customWidth="1"/>
    <col min="10781" max="11020" width="11" style="120"/>
    <col min="11021" max="11021" width="4.875" style="120" customWidth="1"/>
    <col min="11022" max="11022" width="41.5" style="120" customWidth="1"/>
    <col min="11023" max="11034" width="15.625" style="120" customWidth="1"/>
    <col min="11035" max="11036" width="0" style="120" hidden="1" customWidth="1"/>
    <col min="11037" max="11276" width="11" style="120"/>
    <col min="11277" max="11277" width="4.875" style="120" customWidth="1"/>
    <col min="11278" max="11278" width="41.5" style="120" customWidth="1"/>
    <col min="11279" max="11290" width="15.625" style="120" customWidth="1"/>
    <col min="11291" max="11292" width="0" style="120" hidden="1" customWidth="1"/>
    <col min="11293" max="11532" width="11" style="120"/>
    <col min="11533" max="11533" width="4.875" style="120" customWidth="1"/>
    <col min="11534" max="11534" width="41.5" style="120" customWidth="1"/>
    <col min="11535" max="11546" width="15.625" style="120" customWidth="1"/>
    <col min="11547" max="11548" width="0" style="120" hidden="1" customWidth="1"/>
    <col min="11549" max="11788" width="11" style="120"/>
    <col min="11789" max="11789" width="4.875" style="120" customWidth="1"/>
    <col min="11790" max="11790" width="41.5" style="120" customWidth="1"/>
    <col min="11791" max="11802" width="15.625" style="120" customWidth="1"/>
    <col min="11803" max="11804" width="0" style="120" hidden="1" customWidth="1"/>
    <col min="11805" max="12044" width="11" style="120"/>
    <col min="12045" max="12045" width="4.875" style="120" customWidth="1"/>
    <col min="12046" max="12046" width="41.5" style="120" customWidth="1"/>
    <col min="12047" max="12058" width="15.625" style="120" customWidth="1"/>
    <col min="12059" max="12060" width="0" style="120" hidden="1" customWidth="1"/>
    <col min="12061" max="12300" width="11" style="120"/>
    <col min="12301" max="12301" width="4.875" style="120" customWidth="1"/>
    <col min="12302" max="12302" width="41.5" style="120" customWidth="1"/>
    <col min="12303" max="12314" width="15.625" style="120" customWidth="1"/>
    <col min="12315" max="12316" width="0" style="120" hidden="1" customWidth="1"/>
    <col min="12317" max="12556" width="11" style="120"/>
    <col min="12557" max="12557" width="4.875" style="120" customWidth="1"/>
    <col min="12558" max="12558" width="41.5" style="120" customWidth="1"/>
    <col min="12559" max="12570" width="15.625" style="120" customWidth="1"/>
    <col min="12571" max="12572" width="0" style="120" hidden="1" customWidth="1"/>
    <col min="12573" max="12812" width="11" style="120"/>
    <col min="12813" max="12813" width="4.875" style="120" customWidth="1"/>
    <col min="12814" max="12814" width="41.5" style="120" customWidth="1"/>
    <col min="12815" max="12826" width="15.625" style="120" customWidth="1"/>
    <col min="12827" max="12828" width="0" style="120" hidden="1" customWidth="1"/>
    <col min="12829" max="13068" width="11" style="120"/>
    <col min="13069" max="13069" width="4.875" style="120" customWidth="1"/>
    <col min="13070" max="13070" width="41.5" style="120" customWidth="1"/>
    <col min="13071" max="13082" width="15.625" style="120" customWidth="1"/>
    <col min="13083" max="13084" width="0" style="120" hidden="1" customWidth="1"/>
    <col min="13085" max="13324" width="11" style="120"/>
    <col min="13325" max="13325" width="4.875" style="120" customWidth="1"/>
    <col min="13326" max="13326" width="41.5" style="120" customWidth="1"/>
    <col min="13327" max="13338" width="15.625" style="120" customWidth="1"/>
    <col min="13339" max="13340" width="0" style="120" hidden="1" customWidth="1"/>
    <col min="13341" max="13580" width="11" style="120"/>
    <col min="13581" max="13581" width="4.875" style="120" customWidth="1"/>
    <col min="13582" max="13582" width="41.5" style="120" customWidth="1"/>
    <col min="13583" max="13594" width="15.625" style="120" customWidth="1"/>
    <col min="13595" max="13596" width="0" style="120" hidden="1" customWidth="1"/>
    <col min="13597" max="13836" width="11" style="120"/>
    <col min="13837" max="13837" width="4.875" style="120" customWidth="1"/>
    <col min="13838" max="13838" width="41.5" style="120" customWidth="1"/>
    <col min="13839" max="13850" width="15.625" style="120" customWidth="1"/>
    <col min="13851" max="13852" width="0" style="120" hidden="1" customWidth="1"/>
    <col min="13853" max="14092" width="11" style="120"/>
    <col min="14093" max="14093" width="4.875" style="120" customWidth="1"/>
    <col min="14094" max="14094" width="41.5" style="120" customWidth="1"/>
    <col min="14095" max="14106" width="15.625" style="120" customWidth="1"/>
    <col min="14107" max="14108" width="0" style="120" hidden="1" customWidth="1"/>
    <col min="14109" max="14348" width="11" style="120"/>
    <col min="14349" max="14349" width="4.875" style="120" customWidth="1"/>
    <col min="14350" max="14350" width="41.5" style="120" customWidth="1"/>
    <col min="14351" max="14362" width="15.625" style="120" customWidth="1"/>
    <col min="14363" max="14364" width="0" style="120" hidden="1" customWidth="1"/>
    <col min="14365" max="14604" width="11" style="120"/>
    <col min="14605" max="14605" width="4.875" style="120" customWidth="1"/>
    <col min="14606" max="14606" width="41.5" style="120" customWidth="1"/>
    <col min="14607" max="14618" width="15.625" style="120" customWidth="1"/>
    <col min="14619" max="14620" width="0" style="120" hidden="1" customWidth="1"/>
    <col min="14621" max="14860" width="11" style="120"/>
    <col min="14861" max="14861" width="4.875" style="120" customWidth="1"/>
    <col min="14862" max="14862" width="41.5" style="120" customWidth="1"/>
    <col min="14863" max="14874" width="15.625" style="120" customWidth="1"/>
    <col min="14875" max="14876" width="0" style="120" hidden="1" customWidth="1"/>
    <col min="14877" max="15116" width="11" style="120"/>
    <col min="15117" max="15117" width="4.875" style="120" customWidth="1"/>
    <col min="15118" max="15118" width="41.5" style="120" customWidth="1"/>
    <col min="15119" max="15130" width="15.625" style="120" customWidth="1"/>
    <col min="15131" max="15132" width="0" style="120" hidden="1" customWidth="1"/>
    <col min="15133" max="15372" width="11" style="120"/>
    <col min="15373" max="15373" width="4.875" style="120" customWidth="1"/>
    <col min="15374" max="15374" width="41.5" style="120" customWidth="1"/>
    <col min="15375" max="15386" width="15.625" style="120" customWidth="1"/>
    <col min="15387" max="15388" width="0" style="120" hidden="1" customWidth="1"/>
    <col min="15389" max="15628" width="11" style="120"/>
    <col min="15629" max="15629" width="4.875" style="120" customWidth="1"/>
    <col min="15630" max="15630" width="41.5" style="120" customWidth="1"/>
    <col min="15631" max="15642" width="15.625" style="120" customWidth="1"/>
    <col min="15643" max="15644" width="0" style="120" hidden="1" customWidth="1"/>
    <col min="15645" max="15884" width="11" style="120"/>
    <col min="15885" max="15885" width="4.875" style="120" customWidth="1"/>
    <col min="15886" max="15886" width="41.5" style="120" customWidth="1"/>
    <col min="15887" max="15898" width="15.625" style="120" customWidth="1"/>
    <col min="15899" max="15900" width="0" style="120" hidden="1" customWidth="1"/>
    <col min="15901" max="16140" width="11" style="120"/>
    <col min="16141" max="16141" width="4.875" style="120" customWidth="1"/>
    <col min="16142" max="16142" width="41.5" style="120" customWidth="1"/>
    <col min="16143" max="16154" width="15.625" style="120" customWidth="1"/>
    <col min="16155" max="16156" width="0" style="120" hidden="1" customWidth="1"/>
    <col min="16157" max="16384" width="11" style="120"/>
  </cols>
  <sheetData>
    <row r="1" spans="1:28" ht="40.5" customHeight="1">
      <c r="A1" s="1006" t="s">
        <v>870</v>
      </c>
      <c r="B1" s="1007"/>
      <c r="C1" s="1007"/>
      <c r="D1" s="1007"/>
      <c r="E1" s="1007"/>
      <c r="F1" s="1007"/>
      <c r="G1" s="1007"/>
      <c r="H1" s="1007"/>
      <c r="I1" s="1007"/>
      <c r="J1" s="1007"/>
      <c r="K1" s="119"/>
      <c r="L1" s="119"/>
      <c r="M1" s="119"/>
      <c r="N1" s="119"/>
      <c r="O1" s="119"/>
      <c r="P1" s="119"/>
      <c r="Q1" s="119"/>
      <c r="R1" s="634"/>
      <c r="S1" s="128"/>
      <c r="T1" s="128"/>
      <c r="U1" s="128"/>
      <c r="V1" s="128"/>
      <c r="W1" s="128"/>
      <c r="X1" s="128"/>
      <c r="Z1" s="635"/>
      <c r="AB1" s="96" t="s">
        <v>125</v>
      </c>
    </row>
    <row r="2" spans="1:28" ht="40.5" customHeight="1" thickBot="1">
      <c r="A2" s="632"/>
      <c r="B2" s="632"/>
      <c r="C2" s="633"/>
      <c r="D2" s="633"/>
      <c r="E2" s="633"/>
      <c r="F2" s="633"/>
      <c r="G2" s="633"/>
      <c r="H2" s="633"/>
      <c r="I2" s="633"/>
      <c r="J2" s="633"/>
      <c r="K2" s="121"/>
      <c r="L2" s="121"/>
      <c r="M2" s="121"/>
      <c r="N2" s="121"/>
      <c r="O2" s="121"/>
      <c r="P2" s="121"/>
      <c r="Q2" s="121"/>
      <c r="R2" s="633"/>
      <c r="S2" s="121"/>
      <c r="T2" s="121"/>
      <c r="U2" s="121"/>
      <c r="V2" s="121"/>
      <c r="W2" s="121"/>
      <c r="X2" s="121"/>
      <c r="Z2" s="636"/>
      <c r="AB2" s="96" t="s">
        <v>126</v>
      </c>
    </row>
    <row r="3" spans="1:28" ht="40.5" customHeight="1" thickBot="1">
      <c r="A3" s="122"/>
      <c r="B3" s="123"/>
      <c r="C3" s="1008" t="s">
        <v>12</v>
      </c>
      <c r="D3" s="1009"/>
      <c r="E3" s="1009"/>
      <c r="F3" s="1009"/>
      <c r="G3" s="1009"/>
      <c r="H3" s="1009"/>
      <c r="I3" s="1009"/>
      <c r="J3" s="1010"/>
      <c r="K3" s="983" t="s">
        <v>127</v>
      </c>
      <c r="L3" s="984"/>
      <c r="M3" s="984"/>
      <c r="N3" s="984"/>
      <c r="O3" s="984"/>
      <c r="P3" s="984"/>
      <c r="Q3" s="984"/>
      <c r="R3" s="985"/>
      <c r="S3" s="983" t="s">
        <v>128</v>
      </c>
      <c r="T3" s="986"/>
      <c r="U3" s="986"/>
      <c r="V3" s="986"/>
      <c r="W3" s="986"/>
      <c r="X3" s="986"/>
      <c r="Y3" s="986"/>
      <c r="Z3" s="987"/>
      <c r="AB3" s="96" t="s">
        <v>129</v>
      </c>
    </row>
    <row r="4" spans="1:28" ht="40.5" customHeight="1" thickBot="1">
      <c r="A4" s="124"/>
      <c r="B4" s="125"/>
      <c r="C4" s="988">
        <f>Deckblatt!G7</f>
        <v>0</v>
      </c>
      <c r="D4" s="989"/>
      <c r="E4" s="989"/>
      <c r="F4" s="989"/>
      <c r="G4" s="989"/>
      <c r="H4" s="989"/>
      <c r="I4" s="989"/>
      <c r="J4" s="990"/>
      <c r="K4" s="988" t="str">
        <f>IF(Deckblatt!G7="","",C4-1)</f>
        <v/>
      </c>
      <c r="L4" s="989"/>
      <c r="M4" s="989"/>
      <c r="N4" s="989"/>
      <c r="O4" s="989"/>
      <c r="P4" s="989"/>
      <c r="Q4" s="989"/>
      <c r="R4" s="989"/>
      <c r="S4" s="988" t="str">
        <f>IF(Deckblatt!G7="","",C4-2)</f>
        <v/>
      </c>
      <c r="T4" s="989"/>
      <c r="U4" s="989"/>
      <c r="V4" s="989"/>
      <c r="W4" s="989"/>
      <c r="X4" s="989"/>
      <c r="Y4" s="989"/>
      <c r="Z4" s="990"/>
      <c r="AB4" s="96" t="s">
        <v>130</v>
      </c>
    </row>
    <row r="5" spans="1:28" ht="40.5" customHeight="1" thickBot="1">
      <c r="A5" s="124"/>
      <c r="B5" s="125"/>
      <c r="C5" s="845" t="s">
        <v>131</v>
      </c>
      <c r="D5" s="993" t="s">
        <v>119</v>
      </c>
      <c r="E5" s="994"/>
      <c r="F5" s="994"/>
      <c r="G5" s="994"/>
      <c r="H5" s="994"/>
      <c r="I5" s="994"/>
      <c r="J5" s="995"/>
      <c r="K5" s="845" t="s">
        <v>131</v>
      </c>
      <c r="L5" s="991" t="s">
        <v>119</v>
      </c>
      <c r="M5" s="991"/>
      <c r="N5" s="991"/>
      <c r="O5" s="991"/>
      <c r="P5" s="991"/>
      <c r="Q5" s="992"/>
      <c r="R5" s="992"/>
      <c r="S5" s="845" t="s">
        <v>131</v>
      </c>
      <c r="T5" s="993" t="s">
        <v>119</v>
      </c>
      <c r="U5" s="994"/>
      <c r="V5" s="994"/>
      <c r="W5" s="994"/>
      <c r="X5" s="994"/>
      <c r="Y5" s="994"/>
      <c r="Z5" s="995"/>
    </row>
    <row r="6" spans="1:28" ht="40.5" customHeight="1" thickTop="1" thickBot="1">
      <c r="A6" s="846"/>
      <c r="B6" s="838"/>
      <c r="C6" s="996" t="s">
        <v>132</v>
      </c>
      <c r="D6" s="997"/>
      <c r="E6" s="998"/>
      <c r="F6" s="999"/>
      <c r="G6" s="1000" t="s">
        <v>133</v>
      </c>
      <c r="H6" s="1001"/>
      <c r="I6" s="1001"/>
      <c r="J6" s="1002"/>
      <c r="K6" s="996" t="s">
        <v>132</v>
      </c>
      <c r="L6" s="997"/>
      <c r="M6" s="998"/>
      <c r="N6" s="1003"/>
      <c r="O6" s="1000" t="s">
        <v>133</v>
      </c>
      <c r="P6" s="1004"/>
      <c r="Q6" s="1004"/>
      <c r="R6" s="1003"/>
      <c r="S6" s="996" t="s">
        <v>132</v>
      </c>
      <c r="T6" s="997"/>
      <c r="U6" s="998"/>
      <c r="V6" s="1003"/>
      <c r="W6" s="1000" t="s">
        <v>133</v>
      </c>
      <c r="X6" s="1004"/>
      <c r="Y6" s="1004"/>
      <c r="Z6" s="1003"/>
    </row>
    <row r="7" spans="1:28" ht="40.5" customHeight="1" thickBot="1">
      <c r="A7" s="835" t="s">
        <v>134</v>
      </c>
      <c r="B7" s="836" t="s">
        <v>135</v>
      </c>
      <c r="C7" s="841" t="s">
        <v>252</v>
      </c>
      <c r="D7" s="842" t="s">
        <v>136</v>
      </c>
      <c r="E7" s="842" t="s">
        <v>253</v>
      </c>
      <c r="F7" s="843" t="s">
        <v>136</v>
      </c>
      <c r="G7" s="841" t="s">
        <v>252</v>
      </c>
      <c r="H7" s="842" t="s">
        <v>136</v>
      </c>
      <c r="I7" s="842" t="s">
        <v>253</v>
      </c>
      <c r="J7" s="843" t="s">
        <v>136</v>
      </c>
      <c r="K7" s="841" t="s">
        <v>252</v>
      </c>
      <c r="L7" s="842" t="s">
        <v>136</v>
      </c>
      <c r="M7" s="842" t="s">
        <v>253</v>
      </c>
      <c r="N7" s="843" t="s">
        <v>136</v>
      </c>
      <c r="O7" s="841" t="s">
        <v>252</v>
      </c>
      <c r="P7" s="842" t="s">
        <v>136</v>
      </c>
      <c r="Q7" s="842" t="s">
        <v>253</v>
      </c>
      <c r="R7" s="843" t="s">
        <v>136</v>
      </c>
      <c r="S7" s="841" t="s">
        <v>252</v>
      </c>
      <c r="T7" s="842" t="s">
        <v>136</v>
      </c>
      <c r="U7" s="842" t="s">
        <v>253</v>
      </c>
      <c r="V7" s="843" t="s">
        <v>136</v>
      </c>
      <c r="W7" s="841" t="s">
        <v>252</v>
      </c>
      <c r="X7" s="842" t="s">
        <v>136</v>
      </c>
      <c r="Y7" s="842" t="s">
        <v>253</v>
      </c>
      <c r="Z7" s="843" t="s">
        <v>136</v>
      </c>
    </row>
    <row r="8" spans="1:28" ht="40.5" customHeight="1">
      <c r="A8" s="837">
        <v>1</v>
      </c>
      <c r="B8" s="838" t="s">
        <v>137</v>
      </c>
      <c r="C8" s="395"/>
      <c r="D8" s="398" t="str">
        <f>IF(C8="","",C8/Deckblatt!$C$10)</f>
        <v/>
      </c>
      <c r="E8" s="395"/>
      <c r="F8" s="398" t="str">
        <f>IF(E8="","",E8/Deckblatt!$C$10)</f>
        <v/>
      </c>
      <c r="G8" s="395"/>
      <c r="H8" s="398" t="str">
        <f>IF(G8="","",G8/Deckblatt!$C$10)</f>
        <v/>
      </c>
      <c r="I8" s="395"/>
      <c r="J8" s="398" t="str">
        <f>IF(I8="","",I8/Deckblatt!$C$10)</f>
        <v/>
      </c>
      <c r="K8" s="395"/>
      <c r="L8" s="398" t="str">
        <f>IF(K8="","",K8/Deckblatt!$C$10)</f>
        <v/>
      </c>
      <c r="M8" s="395"/>
      <c r="N8" s="398" t="str">
        <f>IF(M8="","",M8/Deckblatt!$C$10)</f>
        <v/>
      </c>
      <c r="O8" s="395"/>
      <c r="P8" s="398" t="str">
        <f>IF(O8="","",O8/Deckblatt!$C$10)</f>
        <v/>
      </c>
      <c r="Q8" s="395"/>
      <c r="R8" s="398" t="str">
        <f>IF(Q8="","",Q8/Deckblatt!$C$10)</f>
        <v/>
      </c>
      <c r="S8" s="395"/>
      <c r="T8" s="398" t="str">
        <f>IF(S8="","",S8/Deckblatt!$C$10)</f>
        <v/>
      </c>
      <c r="U8" s="395"/>
      <c r="V8" s="398" t="str">
        <f>IF(U8="","",U8/Deckblatt!$C$10)</f>
        <v/>
      </c>
      <c r="W8" s="395"/>
      <c r="X8" s="398" t="str">
        <f>IF(W8="","",W8/Deckblatt!$C$10)</f>
        <v/>
      </c>
      <c r="Y8" s="395"/>
      <c r="Z8" s="398" t="str">
        <f>IF(Y8="","",Y8/Deckblatt!$C$10)</f>
        <v/>
      </c>
    </row>
    <row r="9" spans="1:28" ht="40.5" customHeight="1">
      <c r="A9" s="837">
        <v>2</v>
      </c>
      <c r="B9" s="838" t="s">
        <v>138</v>
      </c>
      <c r="C9" s="395"/>
      <c r="D9" s="398" t="str">
        <f>IF(C9="","",C9/Deckblatt!$C$10)</f>
        <v/>
      </c>
      <c r="E9" s="395"/>
      <c r="F9" s="398" t="str">
        <f>IF(E9="","",E9/Deckblatt!$C$10)</f>
        <v/>
      </c>
      <c r="G9" s="395"/>
      <c r="H9" s="398" t="str">
        <f>IF(G9="","",G9/Deckblatt!$C$10)</f>
        <v/>
      </c>
      <c r="I9" s="395"/>
      <c r="J9" s="398" t="str">
        <f>IF(I9="","",I9/Deckblatt!$C$10)</f>
        <v/>
      </c>
      <c r="K9" s="395"/>
      <c r="L9" s="398" t="str">
        <f>IF(K9="","",K9/Deckblatt!$C$10)</f>
        <v/>
      </c>
      <c r="M9" s="395"/>
      <c r="N9" s="398" t="str">
        <f>IF(M9="","",M9/Deckblatt!$C$10)</f>
        <v/>
      </c>
      <c r="O9" s="395"/>
      <c r="P9" s="398" t="str">
        <f>IF(O9="","",O9/Deckblatt!$C$10)</f>
        <v/>
      </c>
      <c r="Q9" s="395"/>
      <c r="R9" s="398" t="str">
        <f>IF(Q9="","",Q9/Deckblatt!$C$10)</f>
        <v/>
      </c>
      <c r="S9" s="395"/>
      <c r="T9" s="398" t="str">
        <f>IF(S9="","",S9/Deckblatt!$C$10)</f>
        <v/>
      </c>
      <c r="U9" s="395"/>
      <c r="V9" s="398" t="str">
        <f>IF(U9="","",U9/Deckblatt!$C$10)</f>
        <v/>
      </c>
      <c r="W9" s="395"/>
      <c r="X9" s="398" t="str">
        <f>IF(W9="","",W9/Deckblatt!$C$10)</f>
        <v/>
      </c>
      <c r="Y9" s="395"/>
      <c r="Z9" s="398" t="str">
        <f>IF(Y9="","",Y9/Deckblatt!$C$10)</f>
        <v/>
      </c>
    </row>
    <row r="10" spans="1:28" ht="40.5" customHeight="1">
      <c r="A10" s="837">
        <v>3</v>
      </c>
      <c r="B10" s="838" t="s">
        <v>139</v>
      </c>
      <c r="C10" s="395"/>
      <c r="D10" s="398" t="str">
        <f>IF(C10="","",C10/Deckblatt!$C$10)</f>
        <v/>
      </c>
      <c r="E10" s="395"/>
      <c r="F10" s="398" t="str">
        <f>IF(E10="","",E10/Deckblatt!$C$10)</f>
        <v/>
      </c>
      <c r="G10" s="395"/>
      <c r="H10" s="398" t="str">
        <f>IF(G10="","",G10/Deckblatt!$C$10)</f>
        <v/>
      </c>
      <c r="I10" s="395"/>
      <c r="J10" s="398" t="str">
        <f>IF(I10="","",I10/Deckblatt!$C$10)</f>
        <v/>
      </c>
      <c r="K10" s="395"/>
      <c r="L10" s="398" t="str">
        <f>IF(K10="","",K10/Deckblatt!$C$10)</f>
        <v/>
      </c>
      <c r="M10" s="395"/>
      <c r="N10" s="398" t="str">
        <f>IF(M10="","",M10/Deckblatt!$C$10)</f>
        <v/>
      </c>
      <c r="O10" s="395"/>
      <c r="P10" s="398" t="str">
        <f>IF(O10="","",O10/Deckblatt!$C$10)</f>
        <v/>
      </c>
      <c r="Q10" s="395"/>
      <c r="R10" s="398" t="str">
        <f>IF(Q10="","",Q10/Deckblatt!$C$10)</f>
        <v/>
      </c>
      <c r="S10" s="395"/>
      <c r="T10" s="398" t="str">
        <f>IF(S10="","",S10/Deckblatt!$C$10)</f>
        <v/>
      </c>
      <c r="U10" s="395"/>
      <c r="V10" s="398" t="str">
        <f>IF(U10="","",U10/Deckblatt!$C$10)</f>
        <v/>
      </c>
      <c r="W10" s="395"/>
      <c r="X10" s="398" t="str">
        <f>IF(W10="","",W10/Deckblatt!$C$10)</f>
        <v/>
      </c>
      <c r="Y10" s="395"/>
      <c r="Z10" s="398" t="str">
        <f>IF(Y10="","",Y10/Deckblatt!$C$10)</f>
        <v/>
      </c>
    </row>
    <row r="11" spans="1:28" ht="40.5" customHeight="1">
      <c r="A11" s="837">
        <v>4</v>
      </c>
      <c r="B11" s="838" t="s">
        <v>140</v>
      </c>
      <c r="C11" s="395"/>
      <c r="D11" s="398" t="str">
        <f>IF(C11="","",C11/Deckblatt!$C$10)</f>
        <v/>
      </c>
      <c r="E11" s="395"/>
      <c r="F11" s="398" t="str">
        <f>IF(E11="","",E11/Deckblatt!$C$10)</f>
        <v/>
      </c>
      <c r="G11" s="395"/>
      <c r="H11" s="398" t="str">
        <f>IF(G11="","",G11/Deckblatt!$C$10)</f>
        <v/>
      </c>
      <c r="I11" s="395"/>
      <c r="J11" s="398" t="str">
        <f>IF(I11="","",I11/Deckblatt!$C$10)</f>
        <v/>
      </c>
      <c r="K11" s="395"/>
      <c r="L11" s="398" t="str">
        <f>IF(K11="","",K11/Deckblatt!$C$10)</f>
        <v/>
      </c>
      <c r="M11" s="395"/>
      <c r="N11" s="398" t="str">
        <f>IF(M11="","",M11/Deckblatt!$C$10)</f>
        <v/>
      </c>
      <c r="O11" s="395"/>
      <c r="P11" s="398" t="str">
        <f>IF(O11="","",O11/Deckblatt!$C$10)</f>
        <v/>
      </c>
      <c r="Q11" s="395"/>
      <c r="R11" s="398" t="str">
        <f>IF(Q11="","",Q11/Deckblatt!$C$10)</f>
        <v/>
      </c>
      <c r="S11" s="395"/>
      <c r="T11" s="398" t="str">
        <f>IF(S11="","",S11/Deckblatt!$C$10)</f>
        <v/>
      </c>
      <c r="U11" s="395"/>
      <c r="V11" s="398" t="str">
        <f>IF(U11="","",U11/Deckblatt!$C$10)</f>
        <v/>
      </c>
      <c r="W11" s="395"/>
      <c r="X11" s="398" t="str">
        <f>IF(W11="","",W11/Deckblatt!$C$10)</f>
        <v/>
      </c>
      <c r="Y11" s="395"/>
      <c r="Z11" s="398" t="str">
        <f>IF(Y11="","",Y11/Deckblatt!$C$10)</f>
        <v/>
      </c>
    </row>
    <row r="12" spans="1:28" ht="40.5" customHeight="1">
      <c r="A12" s="837">
        <v>5</v>
      </c>
      <c r="B12" s="838" t="s">
        <v>141</v>
      </c>
      <c r="C12" s="395"/>
      <c r="D12" s="398" t="str">
        <f>IF(C12="","",C12/Deckblatt!$C$10)</f>
        <v/>
      </c>
      <c r="E12" s="395"/>
      <c r="F12" s="398" t="str">
        <f>IF(E12="","",E12/Deckblatt!$C$10)</f>
        <v/>
      </c>
      <c r="G12" s="395"/>
      <c r="H12" s="398" t="str">
        <f>IF(G12="","",G12/Deckblatt!$C$10)</f>
        <v/>
      </c>
      <c r="I12" s="395"/>
      <c r="J12" s="398" t="str">
        <f>IF(I12="","",I12/Deckblatt!$C$10)</f>
        <v/>
      </c>
      <c r="K12" s="395"/>
      <c r="L12" s="398" t="str">
        <f>IF(K12="","",K12/Deckblatt!$C$10)</f>
        <v/>
      </c>
      <c r="M12" s="395"/>
      <c r="N12" s="398" t="str">
        <f>IF(M12="","",M12/Deckblatt!$C$10)</f>
        <v/>
      </c>
      <c r="O12" s="395"/>
      <c r="P12" s="398" t="str">
        <f>IF(O12="","",O12/Deckblatt!$C$10)</f>
        <v/>
      </c>
      <c r="Q12" s="395"/>
      <c r="R12" s="398" t="str">
        <f>IF(Q12="","",Q12/Deckblatt!$C$10)</f>
        <v/>
      </c>
      <c r="S12" s="395"/>
      <c r="T12" s="398" t="str">
        <f>IF(S12="","",S12/Deckblatt!$C$10)</f>
        <v/>
      </c>
      <c r="U12" s="395"/>
      <c r="V12" s="398" t="str">
        <f>IF(U12="","",U12/Deckblatt!$C$10)</f>
        <v/>
      </c>
      <c r="W12" s="395"/>
      <c r="X12" s="398" t="str">
        <f>IF(W12="","",W12/Deckblatt!$C$10)</f>
        <v/>
      </c>
      <c r="Y12" s="395"/>
      <c r="Z12" s="398" t="str">
        <f>IF(Y12="","",Y12/Deckblatt!$C$10)</f>
        <v/>
      </c>
    </row>
    <row r="13" spans="1:28" ht="40.5" customHeight="1">
      <c r="A13" s="837">
        <v>6</v>
      </c>
      <c r="B13" s="838" t="s">
        <v>142</v>
      </c>
      <c r="C13" s="395"/>
      <c r="D13" s="398" t="str">
        <f>IF(C13="","",C13/Deckblatt!$C$10)</f>
        <v/>
      </c>
      <c r="E13" s="395"/>
      <c r="F13" s="398" t="str">
        <f>IF(E13="","",E13/Deckblatt!$C$10)</f>
        <v/>
      </c>
      <c r="G13" s="395"/>
      <c r="H13" s="398" t="str">
        <f>IF(G13="","",G13/Deckblatt!$C$10)</f>
        <v/>
      </c>
      <c r="I13" s="395"/>
      <c r="J13" s="398" t="str">
        <f>IF(I13="","",I13/Deckblatt!$C$10)</f>
        <v/>
      </c>
      <c r="K13" s="395"/>
      <c r="L13" s="398" t="str">
        <f>IF(K13="","",K13/Deckblatt!$C$10)</f>
        <v/>
      </c>
      <c r="M13" s="395"/>
      <c r="N13" s="398" t="str">
        <f>IF(M13="","",M13/Deckblatt!$C$10)</f>
        <v/>
      </c>
      <c r="O13" s="395"/>
      <c r="P13" s="398" t="str">
        <f>IF(O13="","",O13/Deckblatt!$C$10)</f>
        <v/>
      </c>
      <c r="Q13" s="395"/>
      <c r="R13" s="398" t="str">
        <f>IF(Q13="","",Q13/Deckblatt!$C$10)</f>
        <v/>
      </c>
      <c r="S13" s="395"/>
      <c r="T13" s="398" t="str">
        <f>IF(S13="","",S13/Deckblatt!$C$10)</f>
        <v/>
      </c>
      <c r="U13" s="395"/>
      <c r="V13" s="398" t="str">
        <f>IF(U13="","",U13/Deckblatt!$C$10)</f>
        <v/>
      </c>
      <c r="W13" s="395"/>
      <c r="X13" s="398" t="str">
        <f>IF(W13="","",W13/Deckblatt!$C$10)</f>
        <v/>
      </c>
      <c r="Y13" s="395"/>
      <c r="Z13" s="398" t="str">
        <f>IF(Y13="","",Y13/Deckblatt!$C$10)</f>
        <v/>
      </c>
    </row>
    <row r="14" spans="1:28" ht="40.5" customHeight="1">
      <c r="A14" s="837">
        <v>7</v>
      </c>
      <c r="B14" s="838" t="s">
        <v>143</v>
      </c>
      <c r="C14" s="395"/>
      <c r="D14" s="398" t="str">
        <f>IF(C14="","",C14/Deckblatt!$C$10)</f>
        <v/>
      </c>
      <c r="E14" s="395"/>
      <c r="F14" s="398" t="str">
        <f>IF(E14="","",E14/Deckblatt!$C$10)</f>
        <v/>
      </c>
      <c r="G14" s="395"/>
      <c r="H14" s="398" t="str">
        <f>IF(G14="","",G14/Deckblatt!$C$10)</f>
        <v/>
      </c>
      <c r="I14" s="395"/>
      <c r="J14" s="398" t="str">
        <f>IF(I14="","",I14/Deckblatt!$C$10)</f>
        <v/>
      </c>
      <c r="K14" s="395"/>
      <c r="L14" s="398" t="str">
        <f>IF(K14="","",K14/Deckblatt!$C$10)</f>
        <v/>
      </c>
      <c r="M14" s="395"/>
      <c r="N14" s="398" t="str">
        <f>IF(M14="","",M14/Deckblatt!$C$10)</f>
        <v/>
      </c>
      <c r="O14" s="395"/>
      <c r="P14" s="398" t="str">
        <f>IF(O14="","",O14/Deckblatt!$C$10)</f>
        <v/>
      </c>
      <c r="Q14" s="395"/>
      <c r="R14" s="398" t="str">
        <f>IF(Q14="","",Q14/Deckblatt!$C$10)</f>
        <v/>
      </c>
      <c r="S14" s="395"/>
      <c r="T14" s="398" t="str">
        <f>IF(S14="","",S14/Deckblatt!$C$10)</f>
        <v/>
      </c>
      <c r="U14" s="395"/>
      <c r="V14" s="398" t="str">
        <f>IF(U14="","",U14/Deckblatt!$C$10)</f>
        <v/>
      </c>
      <c r="W14" s="395"/>
      <c r="X14" s="398" t="str">
        <f>IF(W14="","",W14/Deckblatt!$C$10)</f>
        <v/>
      </c>
      <c r="Y14" s="395"/>
      <c r="Z14" s="398" t="str">
        <f>IF(Y14="","",Y14/Deckblatt!$C$10)</f>
        <v/>
      </c>
    </row>
    <row r="15" spans="1:28" ht="40.5" customHeight="1">
      <c r="A15" s="837">
        <v>8</v>
      </c>
      <c r="B15" s="838" t="s">
        <v>144</v>
      </c>
      <c r="C15" s="395"/>
      <c r="D15" s="398" t="str">
        <f>IF(C15="","",C15/Deckblatt!$C$10)</f>
        <v/>
      </c>
      <c r="E15" s="395"/>
      <c r="F15" s="398" t="str">
        <f>IF(E15="","",E15/Deckblatt!$C$10)</f>
        <v/>
      </c>
      <c r="G15" s="395"/>
      <c r="H15" s="398" t="str">
        <f>IF(G15="","",G15/Deckblatt!$C$10)</f>
        <v/>
      </c>
      <c r="I15" s="395"/>
      <c r="J15" s="398" t="str">
        <f>IF(I15="","",I15/Deckblatt!$C$10)</f>
        <v/>
      </c>
      <c r="K15" s="395"/>
      <c r="L15" s="398" t="str">
        <f>IF(K15="","",K15/Deckblatt!$C$10)</f>
        <v/>
      </c>
      <c r="M15" s="395"/>
      <c r="N15" s="398" t="str">
        <f>IF(M15="","",M15/Deckblatt!$C$10)</f>
        <v/>
      </c>
      <c r="O15" s="395"/>
      <c r="P15" s="398" t="str">
        <f>IF(O15="","",O15/Deckblatt!$C$10)</f>
        <v/>
      </c>
      <c r="Q15" s="395"/>
      <c r="R15" s="398" t="str">
        <f>IF(Q15="","",Q15/Deckblatt!$C$10)</f>
        <v/>
      </c>
      <c r="S15" s="395"/>
      <c r="T15" s="398" t="str">
        <f>IF(S15="","",S15/Deckblatt!$C$10)</f>
        <v/>
      </c>
      <c r="U15" s="395"/>
      <c r="V15" s="398" t="str">
        <f>IF(U15="","",U15/Deckblatt!$C$10)</f>
        <v/>
      </c>
      <c r="W15" s="395"/>
      <c r="X15" s="398" t="str">
        <f>IF(W15="","",W15/Deckblatt!$C$10)</f>
        <v/>
      </c>
      <c r="Y15" s="395"/>
      <c r="Z15" s="398" t="str">
        <f>IF(Y15="","",Y15/Deckblatt!$C$10)</f>
        <v/>
      </c>
    </row>
    <row r="16" spans="1:28" ht="40.5" customHeight="1">
      <c r="A16" s="837">
        <v>9</v>
      </c>
      <c r="B16" s="838" t="s">
        <v>145</v>
      </c>
      <c r="C16" s="395"/>
      <c r="D16" s="398" t="str">
        <f>IF(C16="","",C16/Deckblatt!$C$10)</f>
        <v/>
      </c>
      <c r="E16" s="395"/>
      <c r="F16" s="398" t="str">
        <f>IF(E16="","",E16/Deckblatt!$C$10)</f>
        <v/>
      </c>
      <c r="G16" s="395"/>
      <c r="H16" s="398" t="str">
        <f>IF(G16="","",G16/Deckblatt!$C$10)</f>
        <v/>
      </c>
      <c r="I16" s="395"/>
      <c r="J16" s="398" t="str">
        <f>IF(I16="","",I16/Deckblatt!$C$10)</f>
        <v/>
      </c>
      <c r="K16" s="395"/>
      <c r="L16" s="398" t="str">
        <f>IF(K16="","",K16/Deckblatt!$C$10)</f>
        <v/>
      </c>
      <c r="M16" s="395"/>
      <c r="N16" s="398" t="str">
        <f>IF(M16="","",M16/Deckblatt!$C$10)</f>
        <v/>
      </c>
      <c r="O16" s="395"/>
      <c r="P16" s="398" t="str">
        <f>IF(O16="","",O16/Deckblatt!$C$10)</f>
        <v/>
      </c>
      <c r="Q16" s="395"/>
      <c r="R16" s="398" t="str">
        <f>IF(Q16="","",Q16/Deckblatt!$C$10)</f>
        <v/>
      </c>
      <c r="S16" s="395"/>
      <c r="T16" s="398" t="str">
        <f>IF(S16="","",S16/Deckblatt!$C$10)</f>
        <v/>
      </c>
      <c r="U16" s="395"/>
      <c r="V16" s="398" t="str">
        <f>IF(U16="","",U16/Deckblatt!$C$10)</f>
        <v/>
      </c>
      <c r="W16" s="395"/>
      <c r="X16" s="398" t="str">
        <f>IF(W16="","",W16/Deckblatt!$C$10)</f>
        <v/>
      </c>
      <c r="Y16" s="395"/>
      <c r="Z16" s="398" t="str">
        <f>IF(Y16="","",Y16/Deckblatt!$C$10)</f>
        <v/>
      </c>
    </row>
    <row r="17" spans="1:29" ht="40.5" customHeight="1">
      <c r="A17" s="837">
        <v>10</v>
      </c>
      <c r="B17" s="838" t="s">
        <v>146</v>
      </c>
      <c r="C17" s="395"/>
      <c r="D17" s="398" t="str">
        <f>IF(C17="","",C17/Deckblatt!$C$10)</f>
        <v/>
      </c>
      <c r="E17" s="395"/>
      <c r="F17" s="398" t="str">
        <f>IF(E17="","",E17/Deckblatt!$C$10)</f>
        <v/>
      </c>
      <c r="G17" s="395"/>
      <c r="H17" s="398" t="str">
        <f>IF(G17="","",G17/Deckblatt!$C$10)</f>
        <v/>
      </c>
      <c r="I17" s="395"/>
      <c r="J17" s="398" t="str">
        <f>IF(I17="","",I17/Deckblatt!$C$10)</f>
        <v/>
      </c>
      <c r="K17" s="395"/>
      <c r="L17" s="398" t="str">
        <f>IF(K17="","",K17/Deckblatt!$C$10)</f>
        <v/>
      </c>
      <c r="M17" s="395"/>
      <c r="N17" s="398" t="str">
        <f>IF(M17="","",M17/Deckblatt!$C$10)</f>
        <v/>
      </c>
      <c r="O17" s="395"/>
      <c r="P17" s="398" t="str">
        <f>IF(O17="","",O17/Deckblatt!$C$10)</f>
        <v/>
      </c>
      <c r="Q17" s="395"/>
      <c r="R17" s="398" t="str">
        <f>IF(Q17="","",Q17/Deckblatt!$C$10)</f>
        <v/>
      </c>
      <c r="S17" s="395"/>
      <c r="T17" s="398" t="str">
        <f>IF(S17="","",S17/Deckblatt!$C$10)</f>
        <v/>
      </c>
      <c r="U17" s="395"/>
      <c r="V17" s="398" t="str">
        <f>IF(U17="","",U17/Deckblatt!$C$10)</f>
        <v/>
      </c>
      <c r="W17" s="395"/>
      <c r="X17" s="398" t="str">
        <f>IF(W17="","",W17/Deckblatt!$C$10)</f>
        <v/>
      </c>
      <c r="Y17" s="395"/>
      <c r="Z17" s="398" t="str">
        <f>IF(Y17="","",Y17/Deckblatt!$C$10)</f>
        <v/>
      </c>
    </row>
    <row r="18" spans="1:29" ht="40.5" customHeight="1">
      <c r="A18" s="837">
        <v>11</v>
      </c>
      <c r="B18" s="838" t="s">
        <v>147</v>
      </c>
      <c r="C18" s="395"/>
      <c r="D18" s="398" t="str">
        <f>IF(C18="","",C18/Deckblatt!$C$10)</f>
        <v/>
      </c>
      <c r="E18" s="395"/>
      <c r="F18" s="398" t="str">
        <f>IF(E18="","",E18/Deckblatt!$C$10)</f>
        <v/>
      </c>
      <c r="G18" s="395"/>
      <c r="H18" s="398" t="str">
        <f>IF(G18="","",G18/Deckblatt!$C$10)</f>
        <v/>
      </c>
      <c r="I18" s="395"/>
      <c r="J18" s="398" t="str">
        <f>IF(I18="","",I18/Deckblatt!$C$10)</f>
        <v/>
      </c>
      <c r="K18" s="395"/>
      <c r="L18" s="398" t="str">
        <f>IF(K18="","",K18/Deckblatt!$C$10)</f>
        <v/>
      </c>
      <c r="M18" s="395"/>
      <c r="N18" s="398" t="str">
        <f>IF(M18="","",M18/Deckblatt!$C$10)</f>
        <v/>
      </c>
      <c r="O18" s="395"/>
      <c r="P18" s="398" t="str">
        <f>IF(O18="","",O18/Deckblatt!$C$10)</f>
        <v/>
      </c>
      <c r="Q18" s="395"/>
      <c r="R18" s="398" t="str">
        <f>IF(Q18="","",Q18/Deckblatt!$C$10)</f>
        <v/>
      </c>
      <c r="S18" s="395"/>
      <c r="T18" s="398" t="str">
        <f>IF(S18="","",S18/Deckblatt!$C$10)</f>
        <v/>
      </c>
      <c r="U18" s="395"/>
      <c r="V18" s="398" t="str">
        <f>IF(U18="","",U18/Deckblatt!$C$10)</f>
        <v/>
      </c>
      <c r="W18" s="395"/>
      <c r="X18" s="398" t="str">
        <f>IF(W18="","",W18/Deckblatt!$C$10)</f>
        <v/>
      </c>
      <c r="Y18" s="395"/>
      <c r="Z18" s="398" t="str">
        <f>IF(Y18="","",Y18/Deckblatt!$C$10)</f>
        <v/>
      </c>
    </row>
    <row r="19" spans="1:29" ht="40.5" customHeight="1">
      <c r="A19" s="837">
        <v>12</v>
      </c>
      <c r="B19" s="838" t="s">
        <v>148</v>
      </c>
      <c r="C19" s="395"/>
      <c r="D19" s="398" t="str">
        <f>IF(C19="","",C19/Deckblatt!$C$10)</f>
        <v/>
      </c>
      <c r="E19" s="395"/>
      <c r="F19" s="398" t="str">
        <f>IF(E19="","",E19/Deckblatt!$C$10)</f>
        <v/>
      </c>
      <c r="G19" s="395"/>
      <c r="H19" s="398" t="str">
        <f>IF(G19="","",G19/Deckblatt!$C$10)</f>
        <v/>
      </c>
      <c r="I19" s="395"/>
      <c r="J19" s="398" t="str">
        <f>IF(I19="","",I19/Deckblatt!$C$10)</f>
        <v/>
      </c>
      <c r="K19" s="395"/>
      <c r="L19" s="398" t="str">
        <f>IF(K19="","",K19/Deckblatt!$C$10)</f>
        <v/>
      </c>
      <c r="M19" s="395"/>
      <c r="N19" s="398" t="str">
        <f>IF(M19="","",M19/Deckblatt!$C$10)</f>
        <v/>
      </c>
      <c r="O19" s="395"/>
      <c r="P19" s="398" t="str">
        <f>IF(O19="","",O19/Deckblatt!$C$10)</f>
        <v/>
      </c>
      <c r="Q19" s="395"/>
      <c r="R19" s="398" t="str">
        <f>IF(Q19="","",Q19/Deckblatt!$C$10)</f>
        <v/>
      </c>
      <c r="S19" s="395"/>
      <c r="T19" s="398" t="str">
        <f>IF(S19="","",S19/Deckblatt!$C$10)</f>
        <v/>
      </c>
      <c r="U19" s="395"/>
      <c r="V19" s="398" t="str">
        <f>IF(U19="","",U19/Deckblatt!$C$10)</f>
        <v/>
      </c>
      <c r="W19" s="395"/>
      <c r="X19" s="398" t="str">
        <f>IF(W19="","",W19/Deckblatt!$C$10)</f>
        <v/>
      </c>
      <c r="Y19" s="395"/>
      <c r="Z19" s="398" t="str">
        <f>IF(Y19="","",Y19/Deckblatt!$C$10)</f>
        <v/>
      </c>
    </row>
    <row r="20" spans="1:29" ht="40.5" customHeight="1">
      <c r="A20" s="837">
        <v>13</v>
      </c>
      <c r="B20" s="838" t="s">
        <v>149</v>
      </c>
      <c r="C20" s="395"/>
      <c r="D20" s="398" t="str">
        <f>IF(C20="","",C20/Deckblatt!$C$10)</f>
        <v/>
      </c>
      <c r="E20" s="395"/>
      <c r="F20" s="398" t="str">
        <f>IF(E20="","",E20/Deckblatt!$C$10)</f>
        <v/>
      </c>
      <c r="G20" s="395"/>
      <c r="H20" s="398" t="str">
        <f>IF(G20="","",G20/Deckblatt!$C$10)</f>
        <v/>
      </c>
      <c r="I20" s="395"/>
      <c r="J20" s="398" t="str">
        <f>IF(I20="","",I20/Deckblatt!$C$10)</f>
        <v/>
      </c>
      <c r="K20" s="395"/>
      <c r="L20" s="398" t="str">
        <f>IF(K20="","",K20/Deckblatt!$C$10)</f>
        <v/>
      </c>
      <c r="M20" s="395"/>
      <c r="N20" s="398" t="str">
        <f>IF(M20="","",M20/Deckblatt!$C$10)</f>
        <v/>
      </c>
      <c r="O20" s="395"/>
      <c r="P20" s="398" t="str">
        <f>IF(O20="","",O20/Deckblatt!$C$10)</f>
        <v/>
      </c>
      <c r="Q20" s="395"/>
      <c r="R20" s="398" t="str">
        <f>IF(Q20="","",Q20/Deckblatt!$C$10)</f>
        <v/>
      </c>
      <c r="S20" s="395"/>
      <c r="T20" s="398" t="str">
        <f>IF(S20="","",S20/Deckblatt!$C$10)</f>
        <v/>
      </c>
      <c r="U20" s="395"/>
      <c r="V20" s="398" t="str">
        <f>IF(U20="","",U20/Deckblatt!$C$10)</f>
        <v/>
      </c>
      <c r="W20" s="395"/>
      <c r="X20" s="398" t="str">
        <f>IF(W20="","",W20/Deckblatt!$C$10)</f>
        <v/>
      </c>
      <c r="Y20" s="395"/>
      <c r="Z20" s="398" t="str">
        <f>IF(Y20="","",Y20/Deckblatt!$C$10)</f>
        <v/>
      </c>
    </row>
    <row r="21" spans="1:29" ht="40.5" customHeight="1">
      <c r="A21" s="837">
        <v>14</v>
      </c>
      <c r="B21" s="838" t="s">
        <v>150</v>
      </c>
      <c r="C21" s="395"/>
      <c r="D21" s="398" t="str">
        <f>IF(C21="","",C21/Deckblatt!$C$10)</f>
        <v/>
      </c>
      <c r="E21" s="395"/>
      <c r="F21" s="398" t="str">
        <f>IF(E21="","",E21/Deckblatt!$C$10)</f>
        <v/>
      </c>
      <c r="G21" s="395"/>
      <c r="H21" s="398" t="str">
        <f>IF(G21="","",G21/Deckblatt!$C$10)</f>
        <v/>
      </c>
      <c r="I21" s="395"/>
      <c r="J21" s="398" t="str">
        <f>IF(I21="","",I21/Deckblatt!$C$10)</f>
        <v/>
      </c>
      <c r="K21" s="395"/>
      <c r="L21" s="398" t="str">
        <f>IF(K21="","",K21/Deckblatt!$C$10)</f>
        <v/>
      </c>
      <c r="M21" s="395"/>
      <c r="N21" s="398" t="str">
        <f>IF(M21="","",M21/Deckblatt!$C$10)</f>
        <v/>
      </c>
      <c r="O21" s="395"/>
      <c r="P21" s="398" t="str">
        <f>IF(O21="","",O21/Deckblatt!$C$10)</f>
        <v/>
      </c>
      <c r="Q21" s="395"/>
      <c r="R21" s="398" t="str">
        <f>IF(Q21="","",Q21/Deckblatt!$C$10)</f>
        <v/>
      </c>
      <c r="S21" s="395"/>
      <c r="T21" s="398" t="str">
        <f>IF(S21="","",S21/Deckblatt!$C$10)</f>
        <v/>
      </c>
      <c r="U21" s="395"/>
      <c r="V21" s="398" t="str">
        <f>IF(U21="","",U21/Deckblatt!$C$10)</f>
        <v/>
      </c>
      <c r="W21" s="395"/>
      <c r="X21" s="398" t="str">
        <f>IF(W21="","",W21/Deckblatt!$C$10)</f>
        <v/>
      </c>
      <c r="Y21" s="395"/>
      <c r="Z21" s="398" t="str">
        <f>IF(Y21="","",Y21/Deckblatt!$C$10)</f>
        <v/>
      </c>
    </row>
    <row r="22" spans="1:29" ht="40.5" customHeight="1">
      <c r="A22" s="837">
        <v>15</v>
      </c>
      <c r="B22" s="838" t="s">
        <v>151</v>
      </c>
      <c r="C22" s="395"/>
      <c r="D22" s="398" t="str">
        <f>IF(C22="","",C22/Deckblatt!$C$10)</f>
        <v/>
      </c>
      <c r="E22" s="395"/>
      <c r="F22" s="398" t="str">
        <f>IF(E22="","",E22/Deckblatt!$C$10)</f>
        <v/>
      </c>
      <c r="G22" s="395"/>
      <c r="H22" s="398" t="str">
        <f>IF(G22="","",G22/Deckblatt!$C$10)</f>
        <v/>
      </c>
      <c r="I22" s="395"/>
      <c r="J22" s="398" t="str">
        <f>IF(I22="","",I22/Deckblatt!$C$10)</f>
        <v/>
      </c>
      <c r="K22" s="395"/>
      <c r="L22" s="398" t="str">
        <f>IF(K22="","",K22/Deckblatt!$C$10)</f>
        <v/>
      </c>
      <c r="M22" s="395"/>
      <c r="N22" s="398" t="str">
        <f>IF(M22="","",M22/Deckblatt!$C$10)</f>
        <v/>
      </c>
      <c r="O22" s="395"/>
      <c r="P22" s="398" t="str">
        <f>IF(O22="","",O22/Deckblatt!$C$10)</f>
        <v/>
      </c>
      <c r="Q22" s="395"/>
      <c r="R22" s="398" t="str">
        <f>IF(Q22="","",Q22/Deckblatt!$C$10)</f>
        <v/>
      </c>
      <c r="S22" s="395"/>
      <c r="T22" s="398" t="str">
        <f>IF(S22="","",S22/Deckblatt!$C$10)</f>
        <v/>
      </c>
      <c r="U22" s="395"/>
      <c r="V22" s="398" t="str">
        <f>IF(U22="","",U22/Deckblatt!$C$10)</f>
        <v/>
      </c>
      <c r="W22" s="395"/>
      <c r="X22" s="398" t="str">
        <f>IF(W22="","",W22/Deckblatt!$C$10)</f>
        <v/>
      </c>
      <c r="Y22" s="395"/>
      <c r="Z22" s="398" t="str">
        <f>IF(Y22="","",Y22/Deckblatt!$C$10)</f>
        <v/>
      </c>
    </row>
    <row r="23" spans="1:29" ht="40.5" customHeight="1" thickBot="1">
      <c r="A23" s="839">
        <v>16</v>
      </c>
      <c r="B23" s="840" t="s">
        <v>152</v>
      </c>
      <c r="C23" s="293"/>
      <c r="D23" s="399" t="str">
        <f>IF(C23="","",C23/Deckblatt!$C$10)</f>
        <v/>
      </c>
      <c r="E23" s="293"/>
      <c r="F23" s="399" t="str">
        <f>IF(E23="","",E23/Deckblatt!$C$10)</f>
        <v/>
      </c>
      <c r="G23" s="293"/>
      <c r="H23" s="399" t="str">
        <f>IF(G23="","",G23/Deckblatt!$C$10)</f>
        <v/>
      </c>
      <c r="I23" s="293"/>
      <c r="J23" s="399" t="str">
        <f>IF(I23="","",I23/Deckblatt!$C$10)</f>
        <v/>
      </c>
      <c r="K23" s="293"/>
      <c r="L23" s="399" t="str">
        <f>IF(K23="","",K23/Deckblatt!$C$10)</f>
        <v/>
      </c>
      <c r="M23" s="293"/>
      <c r="N23" s="399" t="str">
        <f>IF(M23="","",M23/Deckblatt!$C$10)</f>
        <v/>
      </c>
      <c r="O23" s="293"/>
      <c r="P23" s="399" t="str">
        <f>IF(O23="","",O23/Deckblatt!$C$10)</f>
        <v/>
      </c>
      <c r="Q23" s="293"/>
      <c r="R23" s="399" t="str">
        <f>IF(Q23="","",Q23/Deckblatt!$C$10)</f>
        <v/>
      </c>
      <c r="S23" s="293"/>
      <c r="T23" s="399" t="str">
        <f>IF(S23="","",S23/Deckblatt!$C$10)</f>
        <v/>
      </c>
      <c r="U23" s="293"/>
      <c r="V23" s="399" t="str">
        <f>IF(U23="","",U23/Deckblatt!$C$10)</f>
        <v/>
      </c>
      <c r="W23" s="293"/>
      <c r="X23" s="399" t="str">
        <f>IF(W23="","",W23/Deckblatt!$C$10)</f>
        <v/>
      </c>
      <c r="Y23" s="293"/>
      <c r="Z23" s="399" t="str">
        <f>IF(Y23="","",Y23/Deckblatt!$C$10)</f>
        <v/>
      </c>
    </row>
    <row r="24" spans="1:29" ht="40.5" customHeight="1" thickBot="1">
      <c r="A24" s="119"/>
      <c r="B24" s="119"/>
      <c r="C24" s="126"/>
      <c r="D24" s="126"/>
      <c r="E24" s="126"/>
      <c r="F24" s="126"/>
      <c r="G24" s="126"/>
      <c r="H24" s="126"/>
      <c r="I24" s="126"/>
      <c r="J24" s="126"/>
      <c r="K24" s="126"/>
      <c r="L24" s="126"/>
      <c r="M24" s="126"/>
      <c r="N24" s="126"/>
      <c r="O24" s="126"/>
      <c r="P24" s="126"/>
      <c r="Q24" s="126"/>
      <c r="R24" s="126"/>
      <c r="S24" s="130"/>
      <c r="T24" s="130"/>
      <c r="U24" s="130"/>
      <c r="V24" s="130"/>
      <c r="W24" s="130"/>
      <c r="X24" s="130"/>
      <c r="Y24" s="130"/>
      <c r="Z24" s="130"/>
    </row>
    <row r="25" spans="1:29" ht="40.5" customHeight="1" thickBot="1">
      <c r="A25" s="119"/>
      <c r="B25" s="844" t="s">
        <v>75</v>
      </c>
      <c r="C25" s="396">
        <f>SUM(C8:C23)</f>
        <v>0</v>
      </c>
      <c r="D25" s="397" t="str">
        <f>IF(Deckblatt!$C$10="","",C25/Deckblatt!$C$10)</f>
        <v/>
      </c>
      <c r="E25" s="396">
        <f t="shared" ref="E25:I25" si="0">SUM(E8:E23)</f>
        <v>0</v>
      </c>
      <c r="F25" s="397">
        <f t="shared" si="0"/>
        <v>0</v>
      </c>
      <c r="G25" s="396">
        <f>SUM(G8:G23)</f>
        <v>0</v>
      </c>
      <c r="H25" s="397" t="str">
        <f>IF(Deckblatt!$C$10="","",G25/Deckblatt!$C$10)</f>
        <v/>
      </c>
      <c r="I25" s="396">
        <f t="shared" si="0"/>
        <v>0</v>
      </c>
      <c r="J25" s="397" t="str">
        <f>IF(Deckblatt!$C$10="","",I25/Deckblatt!$C$10)</f>
        <v/>
      </c>
      <c r="K25" s="396">
        <f>SUM(K8:K23)</f>
        <v>0</v>
      </c>
      <c r="L25" s="397" t="str">
        <f>IF(Deckblatt!$C$10="","",K25/Deckblatt!$C$10)</f>
        <v/>
      </c>
      <c r="M25" s="396">
        <f t="shared" ref="M25" si="1">SUM(M8:M23)</f>
        <v>0</v>
      </c>
      <c r="N25" s="397">
        <f t="shared" ref="N25:O25" si="2">SUM(N8:N23)</f>
        <v>0</v>
      </c>
      <c r="O25" s="396">
        <f t="shared" si="2"/>
        <v>0</v>
      </c>
      <c r="P25" s="397" t="str">
        <f>IF(Deckblatt!$C$10="","",O25/Deckblatt!$C$10)</f>
        <v/>
      </c>
      <c r="Q25" s="396">
        <f>SUM(Q8:Q23)</f>
        <v>0</v>
      </c>
      <c r="R25" s="397">
        <f t="shared" ref="R25" si="3">SUM(R8:R23)</f>
        <v>0</v>
      </c>
      <c r="S25" s="400">
        <f>SUM(S8:S23)</f>
        <v>0</v>
      </c>
      <c r="T25" s="397" t="str">
        <f>IF(Deckblatt!$C$10="","",S25/Deckblatt!$C$10)</f>
        <v/>
      </c>
      <c r="U25" s="400">
        <f>SUM(U8:U23)</f>
        <v>0</v>
      </c>
      <c r="V25" s="397">
        <f t="shared" ref="V25" si="4">SUM(V8:V23)</f>
        <v>0</v>
      </c>
      <c r="W25" s="400">
        <f>SUM(W8:W23)</f>
        <v>0</v>
      </c>
      <c r="X25" s="397" t="str">
        <f>IF(Deckblatt!$C$10="","",W25/Deckblatt!$C$10)</f>
        <v/>
      </c>
      <c r="Y25" s="400">
        <f>SUM(Y8:Y23)</f>
        <v>0</v>
      </c>
      <c r="Z25" s="849">
        <f t="shared" ref="Z25" si="5">SUM(Z8:Z23)</f>
        <v>0</v>
      </c>
      <c r="AC25" s="848"/>
    </row>
    <row r="27" spans="1:29" ht="40.5" customHeight="1">
      <c r="B27" s="295"/>
      <c r="C27" s="295"/>
      <c r="D27" s="295"/>
      <c r="E27" s="295"/>
      <c r="F27" s="295"/>
      <c r="G27" s="295"/>
    </row>
    <row r="28" spans="1:29" ht="40.5" customHeight="1">
      <c r="B28" s="294"/>
      <c r="C28" s="295"/>
      <c r="D28" s="295"/>
      <c r="E28" s="295"/>
      <c r="F28" s="295"/>
      <c r="G28" s="295"/>
    </row>
    <row r="29" spans="1:29" ht="40.5" customHeight="1">
      <c r="B29" s="1005"/>
      <c r="C29" s="884"/>
      <c r="D29" s="884"/>
      <c r="E29" s="295"/>
      <c r="F29" s="295"/>
      <c r="G29" s="295"/>
      <c r="I29" s="127"/>
    </row>
    <row r="30" spans="1:29" ht="40.5" customHeight="1">
      <c r="B30" s="1005"/>
      <c r="C30" s="884"/>
      <c r="D30" s="884"/>
      <c r="E30" s="884"/>
      <c r="F30" s="884"/>
      <c r="G30" s="884"/>
    </row>
    <row r="31" spans="1:29" ht="40.5" customHeight="1">
      <c r="B31" s="294"/>
      <c r="C31" s="294"/>
      <c r="D31" s="295"/>
      <c r="E31" s="295"/>
      <c r="F31" s="295"/>
      <c r="G31" s="295"/>
    </row>
    <row r="32" spans="1:29" ht="40.5" customHeight="1">
      <c r="B32" s="1005"/>
      <c r="C32" s="884"/>
      <c r="D32" s="884"/>
      <c r="E32" s="884"/>
      <c r="F32" s="884"/>
      <c r="G32" s="884"/>
      <c r="H32" s="884"/>
    </row>
    <row r="33" spans="2:7" ht="40.5" customHeight="1">
      <c r="B33" s="1005"/>
      <c r="C33" s="884"/>
      <c r="D33" s="295"/>
      <c r="E33" s="295"/>
      <c r="F33" s="295"/>
      <c r="G33" s="295"/>
    </row>
  </sheetData>
  <sheetProtection algorithmName="SHA-512" hashValue="Wv6UHEHpzEsnqyNA/s6+vX/THLokWhWf88Pcdatybg6RzJPs76tE6CqjDIwRmPsuUKtMYIJbrk/hxWTcI0r+Mw==" saltValue="hp8PsxdBiYvL7Pm+PKjflA==" spinCount="100000" sheet="1" formatColumns="0"/>
  <protectedRanges>
    <protectedRange sqref="D5:H5 L5:P5 T5:X5" name="Bereich2"/>
  </protectedRanges>
  <dataConsolidate/>
  <mergeCells count="20">
    <mergeCell ref="B32:H32"/>
    <mergeCell ref="B33:C33"/>
    <mergeCell ref="A1:J1"/>
    <mergeCell ref="B29:D29"/>
    <mergeCell ref="B30:G30"/>
    <mergeCell ref="D5:J5"/>
    <mergeCell ref="C3:J3"/>
    <mergeCell ref="L5:R5"/>
    <mergeCell ref="T5:Z5"/>
    <mergeCell ref="C6:F6"/>
    <mergeCell ref="G6:J6"/>
    <mergeCell ref="K6:N6"/>
    <mergeCell ref="O6:R6"/>
    <mergeCell ref="S6:V6"/>
    <mergeCell ref="W6:Z6"/>
    <mergeCell ref="K3:R3"/>
    <mergeCell ref="S3:Z3"/>
    <mergeCell ref="C4:J4"/>
    <mergeCell ref="K4:R4"/>
    <mergeCell ref="S4:Z4"/>
  </mergeCells>
  <conditionalFormatting sqref="C4">
    <cfRule type="expression" dxfId="24" priority="32" stopIfTrue="1">
      <formula>ISBLANK(C4)</formula>
    </cfRule>
  </conditionalFormatting>
  <conditionalFormatting sqref="D5:H5">
    <cfRule type="expression" dxfId="23" priority="7" stopIfTrue="1">
      <formula>ISBLANK(D5)</formula>
    </cfRule>
  </conditionalFormatting>
  <conditionalFormatting sqref="L5:P5">
    <cfRule type="expression" dxfId="22" priority="4" stopIfTrue="1">
      <formula>ISBLANK(L5)</formula>
    </cfRule>
  </conditionalFormatting>
  <conditionalFormatting sqref="T5:X5">
    <cfRule type="expression" dxfId="21" priority="3" stopIfTrue="1">
      <formula>ISBLANK(T5)</formula>
    </cfRule>
  </conditionalFormatting>
  <conditionalFormatting sqref="K4">
    <cfRule type="expression" dxfId="20" priority="2" stopIfTrue="1">
      <formula>ISBLANK(K4)</formula>
    </cfRule>
  </conditionalFormatting>
  <conditionalFormatting sqref="S4">
    <cfRule type="expression" dxfId="19" priority="1" stopIfTrue="1">
      <formula>ISBLANK(S4)</formula>
    </cfRule>
  </conditionalFormatting>
  <dataValidations xWindow="421" yWindow="335" count="5">
    <dataValidation type="decimal" allowBlank="1" showInputMessage="1" showErrorMessage="1" errorTitle="neg.Vorzeichenverbot" error="Bitte keine Beträge mit negativem Vorzeichen eingeben. " prompt="Bitte nur Beträge mit positivem Vorzeichen eingeben. " sqref="WWG983044:WWG983059 JK8:JK23 TG8:TG23 ADC8:ADC23 AMY8:AMY23 AWU8:AWU23 BGQ8:BGQ23 BQM8:BQM23 CAI8:CAI23 CKE8:CKE23 CUA8:CUA23 DDW8:DDW23 DNS8:DNS23 DXO8:DXO23 EHK8:EHK23 ERG8:ERG23 FBC8:FBC23 FKY8:FKY23 FUU8:FUU23 GEQ8:GEQ23 GOM8:GOM23 GYI8:GYI23 HIE8:HIE23 HSA8:HSA23 IBW8:IBW23 ILS8:ILS23 IVO8:IVO23 JFK8:JFK23 JPG8:JPG23 JZC8:JZC23 KIY8:KIY23 KSU8:KSU23 LCQ8:LCQ23 LMM8:LMM23 LWI8:LWI23 MGE8:MGE23 MQA8:MQA23 MZW8:MZW23 NJS8:NJS23 NTO8:NTO23 ODK8:ODK23 ONG8:ONG23 OXC8:OXC23 PGY8:PGY23 PQU8:PQU23 QAQ8:QAQ23 QKM8:QKM23 QUI8:QUI23 REE8:REE23 ROA8:ROA23 RXW8:RXW23 SHS8:SHS23 SRO8:SRO23 TBK8:TBK23 TLG8:TLG23 TVC8:TVC23 UEY8:UEY23 UOU8:UOU23 UYQ8:UYQ23 VIM8:VIM23 VSI8:VSI23 WCE8:WCE23 WMA8:WMA23 WVW8:WVW23 C65540:C65555 JK65540:JK65555 TG65540:TG65555 ADC65540:ADC65555 AMY65540:AMY65555 AWU65540:AWU65555 BGQ65540:BGQ65555 BQM65540:BQM65555 CAI65540:CAI65555 CKE65540:CKE65555 CUA65540:CUA65555 DDW65540:DDW65555 DNS65540:DNS65555 DXO65540:DXO65555 EHK65540:EHK65555 ERG65540:ERG65555 FBC65540:FBC65555 FKY65540:FKY65555 FUU65540:FUU65555 GEQ65540:GEQ65555 GOM65540:GOM65555 GYI65540:GYI65555 HIE65540:HIE65555 HSA65540:HSA65555 IBW65540:IBW65555 ILS65540:ILS65555 IVO65540:IVO65555 JFK65540:JFK65555 JPG65540:JPG65555 JZC65540:JZC65555 KIY65540:KIY65555 KSU65540:KSU65555 LCQ65540:LCQ65555 LMM65540:LMM65555 LWI65540:LWI65555 MGE65540:MGE65555 MQA65540:MQA65555 MZW65540:MZW65555 NJS65540:NJS65555 NTO65540:NTO65555 ODK65540:ODK65555 ONG65540:ONG65555 OXC65540:OXC65555 PGY65540:PGY65555 PQU65540:PQU65555 QAQ65540:QAQ65555 QKM65540:QKM65555 QUI65540:QUI65555 REE65540:REE65555 ROA65540:ROA65555 RXW65540:RXW65555 SHS65540:SHS65555 SRO65540:SRO65555 TBK65540:TBK65555 TLG65540:TLG65555 TVC65540:TVC65555 UEY65540:UEY65555 UOU65540:UOU65555 UYQ65540:UYQ65555 VIM65540:VIM65555 VSI65540:VSI65555 WCE65540:WCE65555 WMA65540:WMA65555 WVW65540:WVW65555 C131076:C131091 JK131076:JK131091 TG131076:TG131091 ADC131076:ADC131091 AMY131076:AMY131091 AWU131076:AWU131091 BGQ131076:BGQ131091 BQM131076:BQM131091 CAI131076:CAI131091 CKE131076:CKE131091 CUA131076:CUA131091 DDW131076:DDW131091 DNS131076:DNS131091 DXO131076:DXO131091 EHK131076:EHK131091 ERG131076:ERG131091 FBC131076:FBC131091 FKY131076:FKY131091 FUU131076:FUU131091 GEQ131076:GEQ131091 GOM131076:GOM131091 GYI131076:GYI131091 HIE131076:HIE131091 HSA131076:HSA131091 IBW131076:IBW131091 ILS131076:ILS131091 IVO131076:IVO131091 JFK131076:JFK131091 JPG131076:JPG131091 JZC131076:JZC131091 KIY131076:KIY131091 KSU131076:KSU131091 LCQ131076:LCQ131091 LMM131076:LMM131091 LWI131076:LWI131091 MGE131076:MGE131091 MQA131076:MQA131091 MZW131076:MZW131091 NJS131076:NJS131091 NTO131076:NTO131091 ODK131076:ODK131091 ONG131076:ONG131091 OXC131076:OXC131091 PGY131076:PGY131091 PQU131076:PQU131091 QAQ131076:QAQ131091 QKM131076:QKM131091 QUI131076:QUI131091 REE131076:REE131091 ROA131076:ROA131091 RXW131076:RXW131091 SHS131076:SHS131091 SRO131076:SRO131091 TBK131076:TBK131091 TLG131076:TLG131091 TVC131076:TVC131091 UEY131076:UEY131091 UOU131076:UOU131091 UYQ131076:UYQ131091 VIM131076:VIM131091 VSI131076:VSI131091 WCE131076:WCE131091 WMA131076:WMA131091 WVW131076:WVW131091 C196612:C196627 JK196612:JK196627 TG196612:TG196627 ADC196612:ADC196627 AMY196612:AMY196627 AWU196612:AWU196627 BGQ196612:BGQ196627 BQM196612:BQM196627 CAI196612:CAI196627 CKE196612:CKE196627 CUA196612:CUA196627 DDW196612:DDW196627 DNS196612:DNS196627 DXO196612:DXO196627 EHK196612:EHK196627 ERG196612:ERG196627 FBC196612:FBC196627 FKY196612:FKY196627 FUU196612:FUU196627 GEQ196612:GEQ196627 GOM196612:GOM196627 GYI196612:GYI196627 HIE196612:HIE196627 HSA196612:HSA196627 IBW196612:IBW196627 ILS196612:ILS196627 IVO196612:IVO196627 JFK196612:JFK196627 JPG196612:JPG196627 JZC196612:JZC196627 KIY196612:KIY196627 KSU196612:KSU196627 LCQ196612:LCQ196627 LMM196612:LMM196627 LWI196612:LWI196627 MGE196612:MGE196627 MQA196612:MQA196627 MZW196612:MZW196627 NJS196612:NJS196627 NTO196612:NTO196627 ODK196612:ODK196627 ONG196612:ONG196627 OXC196612:OXC196627 PGY196612:PGY196627 PQU196612:PQU196627 QAQ196612:QAQ196627 QKM196612:QKM196627 QUI196612:QUI196627 REE196612:REE196627 ROA196612:ROA196627 RXW196612:RXW196627 SHS196612:SHS196627 SRO196612:SRO196627 TBK196612:TBK196627 TLG196612:TLG196627 TVC196612:TVC196627 UEY196612:UEY196627 UOU196612:UOU196627 UYQ196612:UYQ196627 VIM196612:VIM196627 VSI196612:VSI196627 WCE196612:WCE196627 WMA196612:WMA196627 WVW196612:WVW196627 C262148:C262163 JK262148:JK262163 TG262148:TG262163 ADC262148:ADC262163 AMY262148:AMY262163 AWU262148:AWU262163 BGQ262148:BGQ262163 BQM262148:BQM262163 CAI262148:CAI262163 CKE262148:CKE262163 CUA262148:CUA262163 DDW262148:DDW262163 DNS262148:DNS262163 DXO262148:DXO262163 EHK262148:EHK262163 ERG262148:ERG262163 FBC262148:FBC262163 FKY262148:FKY262163 FUU262148:FUU262163 GEQ262148:GEQ262163 GOM262148:GOM262163 GYI262148:GYI262163 HIE262148:HIE262163 HSA262148:HSA262163 IBW262148:IBW262163 ILS262148:ILS262163 IVO262148:IVO262163 JFK262148:JFK262163 JPG262148:JPG262163 JZC262148:JZC262163 KIY262148:KIY262163 KSU262148:KSU262163 LCQ262148:LCQ262163 LMM262148:LMM262163 LWI262148:LWI262163 MGE262148:MGE262163 MQA262148:MQA262163 MZW262148:MZW262163 NJS262148:NJS262163 NTO262148:NTO262163 ODK262148:ODK262163 ONG262148:ONG262163 OXC262148:OXC262163 PGY262148:PGY262163 PQU262148:PQU262163 QAQ262148:QAQ262163 QKM262148:QKM262163 QUI262148:QUI262163 REE262148:REE262163 ROA262148:ROA262163 RXW262148:RXW262163 SHS262148:SHS262163 SRO262148:SRO262163 TBK262148:TBK262163 TLG262148:TLG262163 TVC262148:TVC262163 UEY262148:UEY262163 UOU262148:UOU262163 UYQ262148:UYQ262163 VIM262148:VIM262163 VSI262148:VSI262163 WCE262148:WCE262163 WMA262148:WMA262163 WVW262148:WVW262163 C327684:C327699 JK327684:JK327699 TG327684:TG327699 ADC327684:ADC327699 AMY327684:AMY327699 AWU327684:AWU327699 BGQ327684:BGQ327699 BQM327684:BQM327699 CAI327684:CAI327699 CKE327684:CKE327699 CUA327684:CUA327699 DDW327684:DDW327699 DNS327684:DNS327699 DXO327684:DXO327699 EHK327684:EHK327699 ERG327684:ERG327699 FBC327684:FBC327699 FKY327684:FKY327699 FUU327684:FUU327699 GEQ327684:GEQ327699 GOM327684:GOM327699 GYI327684:GYI327699 HIE327684:HIE327699 HSA327684:HSA327699 IBW327684:IBW327699 ILS327684:ILS327699 IVO327684:IVO327699 JFK327684:JFK327699 JPG327684:JPG327699 JZC327684:JZC327699 KIY327684:KIY327699 KSU327684:KSU327699 LCQ327684:LCQ327699 LMM327684:LMM327699 LWI327684:LWI327699 MGE327684:MGE327699 MQA327684:MQA327699 MZW327684:MZW327699 NJS327684:NJS327699 NTO327684:NTO327699 ODK327684:ODK327699 ONG327684:ONG327699 OXC327684:OXC327699 PGY327684:PGY327699 PQU327684:PQU327699 QAQ327684:QAQ327699 QKM327684:QKM327699 QUI327684:QUI327699 REE327684:REE327699 ROA327684:ROA327699 RXW327684:RXW327699 SHS327684:SHS327699 SRO327684:SRO327699 TBK327684:TBK327699 TLG327684:TLG327699 TVC327684:TVC327699 UEY327684:UEY327699 UOU327684:UOU327699 UYQ327684:UYQ327699 VIM327684:VIM327699 VSI327684:VSI327699 WCE327684:WCE327699 WMA327684:WMA327699 WVW327684:WVW327699 C393220:C393235 JK393220:JK393235 TG393220:TG393235 ADC393220:ADC393235 AMY393220:AMY393235 AWU393220:AWU393235 BGQ393220:BGQ393235 BQM393220:BQM393235 CAI393220:CAI393235 CKE393220:CKE393235 CUA393220:CUA393235 DDW393220:DDW393235 DNS393220:DNS393235 DXO393220:DXO393235 EHK393220:EHK393235 ERG393220:ERG393235 FBC393220:FBC393235 FKY393220:FKY393235 FUU393220:FUU393235 GEQ393220:GEQ393235 GOM393220:GOM393235 GYI393220:GYI393235 HIE393220:HIE393235 HSA393220:HSA393235 IBW393220:IBW393235 ILS393220:ILS393235 IVO393220:IVO393235 JFK393220:JFK393235 JPG393220:JPG393235 JZC393220:JZC393235 KIY393220:KIY393235 KSU393220:KSU393235 LCQ393220:LCQ393235 LMM393220:LMM393235 LWI393220:LWI393235 MGE393220:MGE393235 MQA393220:MQA393235 MZW393220:MZW393235 NJS393220:NJS393235 NTO393220:NTO393235 ODK393220:ODK393235 ONG393220:ONG393235 OXC393220:OXC393235 PGY393220:PGY393235 PQU393220:PQU393235 QAQ393220:QAQ393235 QKM393220:QKM393235 QUI393220:QUI393235 REE393220:REE393235 ROA393220:ROA393235 RXW393220:RXW393235 SHS393220:SHS393235 SRO393220:SRO393235 TBK393220:TBK393235 TLG393220:TLG393235 TVC393220:TVC393235 UEY393220:UEY393235 UOU393220:UOU393235 UYQ393220:UYQ393235 VIM393220:VIM393235 VSI393220:VSI393235 WCE393220:WCE393235 WMA393220:WMA393235 WVW393220:WVW393235 C458756:C458771 JK458756:JK458771 TG458756:TG458771 ADC458756:ADC458771 AMY458756:AMY458771 AWU458756:AWU458771 BGQ458756:BGQ458771 BQM458756:BQM458771 CAI458756:CAI458771 CKE458756:CKE458771 CUA458756:CUA458771 DDW458756:DDW458771 DNS458756:DNS458771 DXO458756:DXO458771 EHK458756:EHK458771 ERG458756:ERG458771 FBC458756:FBC458771 FKY458756:FKY458771 FUU458756:FUU458771 GEQ458756:GEQ458771 GOM458756:GOM458771 GYI458756:GYI458771 HIE458756:HIE458771 HSA458756:HSA458771 IBW458756:IBW458771 ILS458756:ILS458771 IVO458756:IVO458771 JFK458756:JFK458771 JPG458756:JPG458771 JZC458756:JZC458771 KIY458756:KIY458771 KSU458756:KSU458771 LCQ458756:LCQ458771 LMM458756:LMM458771 LWI458756:LWI458771 MGE458756:MGE458771 MQA458756:MQA458771 MZW458756:MZW458771 NJS458756:NJS458771 NTO458756:NTO458771 ODK458756:ODK458771 ONG458756:ONG458771 OXC458756:OXC458771 PGY458756:PGY458771 PQU458756:PQU458771 QAQ458756:QAQ458771 QKM458756:QKM458771 QUI458756:QUI458771 REE458756:REE458771 ROA458756:ROA458771 RXW458756:RXW458771 SHS458756:SHS458771 SRO458756:SRO458771 TBK458756:TBK458771 TLG458756:TLG458771 TVC458756:TVC458771 UEY458756:UEY458771 UOU458756:UOU458771 UYQ458756:UYQ458771 VIM458756:VIM458771 VSI458756:VSI458771 WCE458756:WCE458771 WMA458756:WMA458771 WVW458756:WVW458771 C524292:C524307 JK524292:JK524307 TG524292:TG524307 ADC524292:ADC524307 AMY524292:AMY524307 AWU524292:AWU524307 BGQ524292:BGQ524307 BQM524292:BQM524307 CAI524292:CAI524307 CKE524292:CKE524307 CUA524292:CUA524307 DDW524292:DDW524307 DNS524292:DNS524307 DXO524292:DXO524307 EHK524292:EHK524307 ERG524292:ERG524307 FBC524292:FBC524307 FKY524292:FKY524307 FUU524292:FUU524307 GEQ524292:GEQ524307 GOM524292:GOM524307 GYI524292:GYI524307 HIE524292:HIE524307 HSA524292:HSA524307 IBW524292:IBW524307 ILS524292:ILS524307 IVO524292:IVO524307 JFK524292:JFK524307 JPG524292:JPG524307 JZC524292:JZC524307 KIY524292:KIY524307 KSU524292:KSU524307 LCQ524292:LCQ524307 LMM524292:LMM524307 LWI524292:LWI524307 MGE524292:MGE524307 MQA524292:MQA524307 MZW524292:MZW524307 NJS524292:NJS524307 NTO524292:NTO524307 ODK524292:ODK524307 ONG524292:ONG524307 OXC524292:OXC524307 PGY524292:PGY524307 PQU524292:PQU524307 QAQ524292:QAQ524307 QKM524292:QKM524307 QUI524292:QUI524307 REE524292:REE524307 ROA524292:ROA524307 RXW524292:RXW524307 SHS524292:SHS524307 SRO524292:SRO524307 TBK524292:TBK524307 TLG524292:TLG524307 TVC524292:TVC524307 UEY524292:UEY524307 UOU524292:UOU524307 UYQ524292:UYQ524307 VIM524292:VIM524307 VSI524292:VSI524307 WCE524292:WCE524307 WMA524292:WMA524307 WVW524292:WVW524307 C589828:C589843 JK589828:JK589843 TG589828:TG589843 ADC589828:ADC589843 AMY589828:AMY589843 AWU589828:AWU589843 BGQ589828:BGQ589843 BQM589828:BQM589843 CAI589828:CAI589843 CKE589828:CKE589843 CUA589828:CUA589843 DDW589828:DDW589843 DNS589828:DNS589843 DXO589828:DXO589843 EHK589828:EHK589843 ERG589828:ERG589843 FBC589828:FBC589843 FKY589828:FKY589843 FUU589828:FUU589843 GEQ589828:GEQ589843 GOM589828:GOM589843 GYI589828:GYI589843 HIE589828:HIE589843 HSA589828:HSA589843 IBW589828:IBW589843 ILS589828:ILS589843 IVO589828:IVO589843 JFK589828:JFK589843 JPG589828:JPG589843 JZC589828:JZC589843 KIY589828:KIY589843 KSU589828:KSU589843 LCQ589828:LCQ589843 LMM589828:LMM589843 LWI589828:LWI589843 MGE589828:MGE589843 MQA589828:MQA589843 MZW589828:MZW589843 NJS589828:NJS589843 NTO589828:NTO589843 ODK589828:ODK589843 ONG589828:ONG589843 OXC589828:OXC589843 PGY589828:PGY589843 PQU589828:PQU589843 QAQ589828:QAQ589843 QKM589828:QKM589843 QUI589828:QUI589843 REE589828:REE589843 ROA589828:ROA589843 RXW589828:RXW589843 SHS589828:SHS589843 SRO589828:SRO589843 TBK589828:TBK589843 TLG589828:TLG589843 TVC589828:TVC589843 UEY589828:UEY589843 UOU589828:UOU589843 UYQ589828:UYQ589843 VIM589828:VIM589843 VSI589828:VSI589843 WCE589828:WCE589843 WMA589828:WMA589843 WVW589828:WVW589843 C655364:C655379 JK655364:JK655379 TG655364:TG655379 ADC655364:ADC655379 AMY655364:AMY655379 AWU655364:AWU655379 BGQ655364:BGQ655379 BQM655364:BQM655379 CAI655364:CAI655379 CKE655364:CKE655379 CUA655364:CUA655379 DDW655364:DDW655379 DNS655364:DNS655379 DXO655364:DXO655379 EHK655364:EHK655379 ERG655364:ERG655379 FBC655364:FBC655379 FKY655364:FKY655379 FUU655364:FUU655379 GEQ655364:GEQ655379 GOM655364:GOM655379 GYI655364:GYI655379 HIE655364:HIE655379 HSA655364:HSA655379 IBW655364:IBW655379 ILS655364:ILS655379 IVO655364:IVO655379 JFK655364:JFK655379 JPG655364:JPG655379 JZC655364:JZC655379 KIY655364:KIY655379 KSU655364:KSU655379 LCQ655364:LCQ655379 LMM655364:LMM655379 LWI655364:LWI655379 MGE655364:MGE655379 MQA655364:MQA655379 MZW655364:MZW655379 NJS655364:NJS655379 NTO655364:NTO655379 ODK655364:ODK655379 ONG655364:ONG655379 OXC655364:OXC655379 PGY655364:PGY655379 PQU655364:PQU655379 QAQ655364:QAQ655379 QKM655364:QKM655379 QUI655364:QUI655379 REE655364:REE655379 ROA655364:ROA655379 RXW655364:RXW655379 SHS655364:SHS655379 SRO655364:SRO655379 TBK655364:TBK655379 TLG655364:TLG655379 TVC655364:TVC655379 UEY655364:UEY655379 UOU655364:UOU655379 UYQ655364:UYQ655379 VIM655364:VIM655379 VSI655364:VSI655379 WCE655364:WCE655379 WMA655364:WMA655379 WVW655364:WVW655379 C720900:C720915 JK720900:JK720915 TG720900:TG720915 ADC720900:ADC720915 AMY720900:AMY720915 AWU720900:AWU720915 BGQ720900:BGQ720915 BQM720900:BQM720915 CAI720900:CAI720915 CKE720900:CKE720915 CUA720900:CUA720915 DDW720900:DDW720915 DNS720900:DNS720915 DXO720900:DXO720915 EHK720900:EHK720915 ERG720900:ERG720915 FBC720900:FBC720915 FKY720900:FKY720915 FUU720900:FUU720915 GEQ720900:GEQ720915 GOM720900:GOM720915 GYI720900:GYI720915 HIE720900:HIE720915 HSA720900:HSA720915 IBW720900:IBW720915 ILS720900:ILS720915 IVO720900:IVO720915 JFK720900:JFK720915 JPG720900:JPG720915 JZC720900:JZC720915 KIY720900:KIY720915 KSU720900:KSU720915 LCQ720900:LCQ720915 LMM720900:LMM720915 LWI720900:LWI720915 MGE720900:MGE720915 MQA720900:MQA720915 MZW720900:MZW720915 NJS720900:NJS720915 NTO720900:NTO720915 ODK720900:ODK720915 ONG720900:ONG720915 OXC720900:OXC720915 PGY720900:PGY720915 PQU720900:PQU720915 QAQ720900:QAQ720915 QKM720900:QKM720915 QUI720900:QUI720915 REE720900:REE720915 ROA720900:ROA720915 RXW720900:RXW720915 SHS720900:SHS720915 SRO720900:SRO720915 TBK720900:TBK720915 TLG720900:TLG720915 TVC720900:TVC720915 UEY720900:UEY720915 UOU720900:UOU720915 UYQ720900:UYQ720915 VIM720900:VIM720915 VSI720900:VSI720915 WCE720900:WCE720915 WMA720900:WMA720915 WVW720900:WVW720915 C786436:C786451 JK786436:JK786451 TG786436:TG786451 ADC786436:ADC786451 AMY786436:AMY786451 AWU786436:AWU786451 BGQ786436:BGQ786451 BQM786436:BQM786451 CAI786436:CAI786451 CKE786436:CKE786451 CUA786436:CUA786451 DDW786436:DDW786451 DNS786436:DNS786451 DXO786436:DXO786451 EHK786436:EHK786451 ERG786436:ERG786451 FBC786436:FBC786451 FKY786436:FKY786451 FUU786436:FUU786451 GEQ786436:GEQ786451 GOM786436:GOM786451 GYI786436:GYI786451 HIE786436:HIE786451 HSA786436:HSA786451 IBW786436:IBW786451 ILS786436:ILS786451 IVO786436:IVO786451 JFK786436:JFK786451 JPG786436:JPG786451 JZC786436:JZC786451 KIY786436:KIY786451 KSU786436:KSU786451 LCQ786436:LCQ786451 LMM786436:LMM786451 LWI786436:LWI786451 MGE786436:MGE786451 MQA786436:MQA786451 MZW786436:MZW786451 NJS786436:NJS786451 NTO786436:NTO786451 ODK786436:ODK786451 ONG786436:ONG786451 OXC786436:OXC786451 PGY786436:PGY786451 PQU786436:PQU786451 QAQ786436:QAQ786451 QKM786436:QKM786451 QUI786436:QUI786451 REE786436:REE786451 ROA786436:ROA786451 RXW786436:RXW786451 SHS786436:SHS786451 SRO786436:SRO786451 TBK786436:TBK786451 TLG786436:TLG786451 TVC786436:TVC786451 UEY786436:UEY786451 UOU786436:UOU786451 UYQ786436:UYQ786451 VIM786436:VIM786451 VSI786436:VSI786451 WCE786436:WCE786451 WMA786436:WMA786451 WVW786436:WVW786451 C851972:C851987 JK851972:JK851987 TG851972:TG851987 ADC851972:ADC851987 AMY851972:AMY851987 AWU851972:AWU851987 BGQ851972:BGQ851987 BQM851972:BQM851987 CAI851972:CAI851987 CKE851972:CKE851987 CUA851972:CUA851987 DDW851972:DDW851987 DNS851972:DNS851987 DXO851972:DXO851987 EHK851972:EHK851987 ERG851972:ERG851987 FBC851972:FBC851987 FKY851972:FKY851987 FUU851972:FUU851987 GEQ851972:GEQ851987 GOM851972:GOM851987 GYI851972:GYI851987 HIE851972:HIE851987 HSA851972:HSA851987 IBW851972:IBW851987 ILS851972:ILS851987 IVO851972:IVO851987 JFK851972:JFK851987 JPG851972:JPG851987 JZC851972:JZC851987 KIY851972:KIY851987 KSU851972:KSU851987 LCQ851972:LCQ851987 LMM851972:LMM851987 LWI851972:LWI851987 MGE851972:MGE851987 MQA851972:MQA851987 MZW851972:MZW851987 NJS851972:NJS851987 NTO851972:NTO851987 ODK851972:ODK851987 ONG851972:ONG851987 OXC851972:OXC851987 PGY851972:PGY851987 PQU851972:PQU851987 QAQ851972:QAQ851987 QKM851972:QKM851987 QUI851972:QUI851987 REE851972:REE851987 ROA851972:ROA851987 RXW851972:RXW851987 SHS851972:SHS851987 SRO851972:SRO851987 TBK851972:TBK851987 TLG851972:TLG851987 TVC851972:TVC851987 UEY851972:UEY851987 UOU851972:UOU851987 UYQ851972:UYQ851987 VIM851972:VIM851987 VSI851972:VSI851987 WCE851972:WCE851987 WMA851972:WMA851987 WVW851972:WVW851987 C917508:C917523 JK917508:JK917523 TG917508:TG917523 ADC917508:ADC917523 AMY917508:AMY917523 AWU917508:AWU917523 BGQ917508:BGQ917523 BQM917508:BQM917523 CAI917508:CAI917523 CKE917508:CKE917523 CUA917508:CUA917523 DDW917508:DDW917523 DNS917508:DNS917523 DXO917508:DXO917523 EHK917508:EHK917523 ERG917508:ERG917523 FBC917508:FBC917523 FKY917508:FKY917523 FUU917508:FUU917523 GEQ917508:GEQ917523 GOM917508:GOM917523 GYI917508:GYI917523 HIE917508:HIE917523 HSA917508:HSA917523 IBW917508:IBW917523 ILS917508:ILS917523 IVO917508:IVO917523 JFK917508:JFK917523 JPG917508:JPG917523 JZC917508:JZC917523 KIY917508:KIY917523 KSU917508:KSU917523 LCQ917508:LCQ917523 LMM917508:LMM917523 LWI917508:LWI917523 MGE917508:MGE917523 MQA917508:MQA917523 MZW917508:MZW917523 NJS917508:NJS917523 NTO917508:NTO917523 ODK917508:ODK917523 ONG917508:ONG917523 OXC917508:OXC917523 PGY917508:PGY917523 PQU917508:PQU917523 QAQ917508:QAQ917523 QKM917508:QKM917523 QUI917508:QUI917523 REE917508:REE917523 ROA917508:ROA917523 RXW917508:RXW917523 SHS917508:SHS917523 SRO917508:SRO917523 TBK917508:TBK917523 TLG917508:TLG917523 TVC917508:TVC917523 UEY917508:UEY917523 UOU917508:UOU917523 UYQ917508:UYQ917523 VIM917508:VIM917523 VSI917508:VSI917523 WCE917508:WCE917523 WMA917508:WMA917523 WVW917508:WVW917523 C983044:C983059 JK983044:JK983059 TG983044:TG983059 ADC983044:ADC983059 AMY983044:AMY983059 AWU983044:AWU983059 BGQ983044:BGQ983059 BQM983044:BQM983059 CAI983044:CAI983059 CKE983044:CKE983059 CUA983044:CUA983059 DDW983044:DDW983059 DNS983044:DNS983059 DXO983044:DXO983059 EHK983044:EHK983059 ERG983044:ERG983059 FBC983044:FBC983059 FKY983044:FKY983059 FUU983044:FUU983059 GEQ983044:GEQ983059 GOM983044:GOM983059 GYI983044:GYI983059 HIE983044:HIE983059 HSA983044:HSA983059 IBW983044:IBW983059 ILS983044:ILS983059 IVO983044:IVO983059 JFK983044:JFK983059 JPG983044:JPG983059 JZC983044:JZC983059 KIY983044:KIY983059 KSU983044:KSU983059 LCQ983044:LCQ983059 LMM983044:LMM983059 LWI983044:LWI983059 MGE983044:MGE983059 MQA983044:MQA983059 MZW983044:MZW983059 NJS983044:NJS983059 NTO983044:NTO983059 ODK983044:ODK983059 ONG983044:ONG983059 OXC983044:OXC983059 PGY983044:PGY983059 PQU983044:PQU983059 QAQ983044:QAQ983059 QKM983044:QKM983059 QUI983044:QUI983059 REE983044:REE983059 ROA983044:ROA983059 RXW983044:RXW983059 SHS983044:SHS983059 SRO983044:SRO983059 TBK983044:TBK983059 TLG983044:TLG983059 TVC983044:TVC983059 UEY983044:UEY983059 UOU983044:UOU983059 UYQ983044:UYQ983059 VIM983044:VIM983059 VSI983044:VSI983059 WCE983044:WCE983059 WMA983044:WMA983059 WVW983044:WVW983059 UZA983044:UZA983059 JS8:JS23 TO8:TO23 ADK8:ADK23 ANG8:ANG23 AXC8:AXC23 BGY8:BGY23 BQU8:BQU23 CAQ8:CAQ23 CKM8:CKM23 CUI8:CUI23 DEE8:DEE23 DOA8:DOA23 DXW8:DXW23 EHS8:EHS23 ERO8:ERO23 FBK8:FBK23 FLG8:FLG23 FVC8:FVC23 GEY8:GEY23 GOU8:GOU23 GYQ8:GYQ23 HIM8:HIM23 HSI8:HSI23 ICE8:ICE23 IMA8:IMA23 IVW8:IVW23 JFS8:JFS23 JPO8:JPO23 JZK8:JZK23 KJG8:KJG23 KTC8:KTC23 LCY8:LCY23 LMU8:LMU23 LWQ8:LWQ23 MGM8:MGM23 MQI8:MQI23 NAE8:NAE23 NKA8:NKA23 NTW8:NTW23 ODS8:ODS23 ONO8:ONO23 OXK8:OXK23 PHG8:PHG23 PRC8:PRC23 QAY8:QAY23 QKU8:QKU23 QUQ8:QUQ23 REM8:REM23 ROI8:ROI23 RYE8:RYE23 SIA8:SIA23 SRW8:SRW23 TBS8:TBS23 TLO8:TLO23 TVK8:TVK23 UFG8:UFG23 UPC8:UPC23 UYY8:UYY23 VIU8:VIU23 VSQ8:VSQ23 WCM8:WCM23 WMI8:WMI23 WWE8:WWE23 S65540:S65555 JS65540:JS65555 TO65540:TO65555 ADK65540:ADK65555 ANG65540:ANG65555 AXC65540:AXC65555 BGY65540:BGY65555 BQU65540:BQU65555 CAQ65540:CAQ65555 CKM65540:CKM65555 CUI65540:CUI65555 DEE65540:DEE65555 DOA65540:DOA65555 DXW65540:DXW65555 EHS65540:EHS65555 ERO65540:ERO65555 FBK65540:FBK65555 FLG65540:FLG65555 FVC65540:FVC65555 GEY65540:GEY65555 GOU65540:GOU65555 GYQ65540:GYQ65555 HIM65540:HIM65555 HSI65540:HSI65555 ICE65540:ICE65555 IMA65540:IMA65555 IVW65540:IVW65555 JFS65540:JFS65555 JPO65540:JPO65555 JZK65540:JZK65555 KJG65540:KJG65555 KTC65540:KTC65555 LCY65540:LCY65555 LMU65540:LMU65555 LWQ65540:LWQ65555 MGM65540:MGM65555 MQI65540:MQI65555 NAE65540:NAE65555 NKA65540:NKA65555 NTW65540:NTW65555 ODS65540:ODS65555 ONO65540:ONO65555 OXK65540:OXK65555 PHG65540:PHG65555 PRC65540:PRC65555 QAY65540:QAY65555 QKU65540:QKU65555 QUQ65540:QUQ65555 REM65540:REM65555 ROI65540:ROI65555 RYE65540:RYE65555 SIA65540:SIA65555 SRW65540:SRW65555 TBS65540:TBS65555 TLO65540:TLO65555 TVK65540:TVK65555 UFG65540:UFG65555 UPC65540:UPC65555 UYY65540:UYY65555 VIU65540:VIU65555 VSQ65540:VSQ65555 WCM65540:WCM65555 WMI65540:WMI65555 WWE65540:WWE65555 S131076:S131091 JS131076:JS131091 TO131076:TO131091 ADK131076:ADK131091 ANG131076:ANG131091 AXC131076:AXC131091 BGY131076:BGY131091 BQU131076:BQU131091 CAQ131076:CAQ131091 CKM131076:CKM131091 CUI131076:CUI131091 DEE131076:DEE131091 DOA131076:DOA131091 DXW131076:DXW131091 EHS131076:EHS131091 ERO131076:ERO131091 FBK131076:FBK131091 FLG131076:FLG131091 FVC131076:FVC131091 GEY131076:GEY131091 GOU131076:GOU131091 GYQ131076:GYQ131091 HIM131076:HIM131091 HSI131076:HSI131091 ICE131076:ICE131091 IMA131076:IMA131091 IVW131076:IVW131091 JFS131076:JFS131091 JPO131076:JPO131091 JZK131076:JZK131091 KJG131076:KJG131091 KTC131076:KTC131091 LCY131076:LCY131091 LMU131076:LMU131091 LWQ131076:LWQ131091 MGM131076:MGM131091 MQI131076:MQI131091 NAE131076:NAE131091 NKA131076:NKA131091 NTW131076:NTW131091 ODS131076:ODS131091 ONO131076:ONO131091 OXK131076:OXK131091 PHG131076:PHG131091 PRC131076:PRC131091 QAY131076:QAY131091 QKU131076:QKU131091 QUQ131076:QUQ131091 REM131076:REM131091 ROI131076:ROI131091 RYE131076:RYE131091 SIA131076:SIA131091 SRW131076:SRW131091 TBS131076:TBS131091 TLO131076:TLO131091 TVK131076:TVK131091 UFG131076:UFG131091 UPC131076:UPC131091 UYY131076:UYY131091 VIU131076:VIU131091 VSQ131076:VSQ131091 WCM131076:WCM131091 WMI131076:WMI131091 WWE131076:WWE131091 S196612:S196627 JS196612:JS196627 TO196612:TO196627 ADK196612:ADK196627 ANG196612:ANG196627 AXC196612:AXC196627 BGY196612:BGY196627 BQU196612:BQU196627 CAQ196612:CAQ196627 CKM196612:CKM196627 CUI196612:CUI196627 DEE196612:DEE196627 DOA196612:DOA196627 DXW196612:DXW196627 EHS196612:EHS196627 ERO196612:ERO196627 FBK196612:FBK196627 FLG196612:FLG196627 FVC196612:FVC196627 GEY196612:GEY196627 GOU196612:GOU196627 GYQ196612:GYQ196627 HIM196612:HIM196627 HSI196612:HSI196627 ICE196612:ICE196627 IMA196612:IMA196627 IVW196612:IVW196627 JFS196612:JFS196627 JPO196612:JPO196627 JZK196612:JZK196627 KJG196612:KJG196627 KTC196612:KTC196627 LCY196612:LCY196627 LMU196612:LMU196627 LWQ196612:LWQ196627 MGM196612:MGM196627 MQI196612:MQI196627 NAE196612:NAE196627 NKA196612:NKA196627 NTW196612:NTW196627 ODS196612:ODS196627 ONO196612:ONO196627 OXK196612:OXK196627 PHG196612:PHG196627 PRC196612:PRC196627 QAY196612:QAY196627 QKU196612:QKU196627 QUQ196612:QUQ196627 REM196612:REM196627 ROI196612:ROI196627 RYE196612:RYE196627 SIA196612:SIA196627 SRW196612:SRW196627 TBS196612:TBS196627 TLO196612:TLO196627 TVK196612:TVK196627 UFG196612:UFG196627 UPC196612:UPC196627 UYY196612:UYY196627 VIU196612:VIU196627 VSQ196612:VSQ196627 WCM196612:WCM196627 WMI196612:WMI196627 WWE196612:WWE196627 S262148:S262163 JS262148:JS262163 TO262148:TO262163 ADK262148:ADK262163 ANG262148:ANG262163 AXC262148:AXC262163 BGY262148:BGY262163 BQU262148:BQU262163 CAQ262148:CAQ262163 CKM262148:CKM262163 CUI262148:CUI262163 DEE262148:DEE262163 DOA262148:DOA262163 DXW262148:DXW262163 EHS262148:EHS262163 ERO262148:ERO262163 FBK262148:FBK262163 FLG262148:FLG262163 FVC262148:FVC262163 GEY262148:GEY262163 GOU262148:GOU262163 GYQ262148:GYQ262163 HIM262148:HIM262163 HSI262148:HSI262163 ICE262148:ICE262163 IMA262148:IMA262163 IVW262148:IVW262163 JFS262148:JFS262163 JPO262148:JPO262163 JZK262148:JZK262163 KJG262148:KJG262163 KTC262148:KTC262163 LCY262148:LCY262163 LMU262148:LMU262163 LWQ262148:LWQ262163 MGM262148:MGM262163 MQI262148:MQI262163 NAE262148:NAE262163 NKA262148:NKA262163 NTW262148:NTW262163 ODS262148:ODS262163 ONO262148:ONO262163 OXK262148:OXK262163 PHG262148:PHG262163 PRC262148:PRC262163 QAY262148:QAY262163 QKU262148:QKU262163 QUQ262148:QUQ262163 REM262148:REM262163 ROI262148:ROI262163 RYE262148:RYE262163 SIA262148:SIA262163 SRW262148:SRW262163 TBS262148:TBS262163 TLO262148:TLO262163 TVK262148:TVK262163 UFG262148:UFG262163 UPC262148:UPC262163 UYY262148:UYY262163 VIU262148:VIU262163 VSQ262148:VSQ262163 WCM262148:WCM262163 WMI262148:WMI262163 WWE262148:WWE262163 S327684:S327699 JS327684:JS327699 TO327684:TO327699 ADK327684:ADK327699 ANG327684:ANG327699 AXC327684:AXC327699 BGY327684:BGY327699 BQU327684:BQU327699 CAQ327684:CAQ327699 CKM327684:CKM327699 CUI327684:CUI327699 DEE327684:DEE327699 DOA327684:DOA327699 DXW327684:DXW327699 EHS327684:EHS327699 ERO327684:ERO327699 FBK327684:FBK327699 FLG327684:FLG327699 FVC327684:FVC327699 GEY327684:GEY327699 GOU327684:GOU327699 GYQ327684:GYQ327699 HIM327684:HIM327699 HSI327684:HSI327699 ICE327684:ICE327699 IMA327684:IMA327699 IVW327684:IVW327699 JFS327684:JFS327699 JPO327684:JPO327699 JZK327684:JZK327699 KJG327684:KJG327699 KTC327684:KTC327699 LCY327684:LCY327699 LMU327684:LMU327699 LWQ327684:LWQ327699 MGM327684:MGM327699 MQI327684:MQI327699 NAE327684:NAE327699 NKA327684:NKA327699 NTW327684:NTW327699 ODS327684:ODS327699 ONO327684:ONO327699 OXK327684:OXK327699 PHG327684:PHG327699 PRC327684:PRC327699 QAY327684:QAY327699 QKU327684:QKU327699 QUQ327684:QUQ327699 REM327684:REM327699 ROI327684:ROI327699 RYE327684:RYE327699 SIA327684:SIA327699 SRW327684:SRW327699 TBS327684:TBS327699 TLO327684:TLO327699 TVK327684:TVK327699 UFG327684:UFG327699 UPC327684:UPC327699 UYY327684:UYY327699 VIU327684:VIU327699 VSQ327684:VSQ327699 WCM327684:WCM327699 WMI327684:WMI327699 WWE327684:WWE327699 S393220:S393235 JS393220:JS393235 TO393220:TO393235 ADK393220:ADK393235 ANG393220:ANG393235 AXC393220:AXC393235 BGY393220:BGY393235 BQU393220:BQU393235 CAQ393220:CAQ393235 CKM393220:CKM393235 CUI393220:CUI393235 DEE393220:DEE393235 DOA393220:DOA393235 DXW393220:DXW393235 EHS393220:EHS393235 ERO393220:ERO393235 FBK393220:FBK393235 FLG393220:FLG393235 FVC393220:FVC393235 GEY393220:GEY393235 GOU393220:GOU393235 GYQ393220:GYQ393235 HIM393220:HIM393235 HSI393220:HSI393235 ICE393220:ICE393235 IMA393220:IMA393235 IVW393220:IVW393235 JFS393220:JFS393235 JPO393220:JPO393235 JZK393220:JZK393235 KJG393220:KJG393235 KTC393220:KTC393235 LCY393220:LCY393235 LMU393220:LMU393235 LWQ393220:LWQ393235 MGM393220:MGM393235 MQI393220:MQI393235 NAE393220:NAE393235 NKA393220:NKA393235 NTW393220:NTW393235 ODS393220:ODS393235 ONO393220:ONO393235 OXK393220:OXK393235 PHG393220:PHG393235 PRC393220:PRC393235 QAY393220:QAY393235 QKU393220:QKU393235 QUQ393220:QUQ393235 REM393220:REM393235 ROI393220:ROI393235 RYE393220:RYE393235 SIA393220:SIA393235 SRW393220:SRW393235 TBS393220:TBS393235 TLO393220:TLO393235 TVK393220:TVK393235 UFG393220:UFG393235 UPC393220:UPC393235 UYY393220:UYY393235 VIU393220:VIU393235 VSQ393220:VSQ393235 WCM393220:WCM393235 WMI393220:WMI393235 WWE393220:WWE393235 S458756:S458771 JS458756:JS458771 TO458756:TO458771 ADK458756:ADK458771 ANG458756:ANG458771 AXC458756:AXC458771 BGY458756:BGY458771 BQU458756:BQU458771 CAQ458756:CAQ458771 CKM458756:CKM458771 CUI458756:CUI458771 DEE458756:DEE458771 DOA458756:DOA458771 DXW458756:DXW458771 EHS458756:EHS458771 ERO458756:ERO458771 FBK458756:FBK458771 FLG458756:FLG458771 FVC458756:FVC458771 GEY458756:GEY458771 GOU458756:GOU458771 GYQ458756:GYQ458771 HIM458756:HIM458771 HSI458756:HSI458771 ICE458756:ICE458771 IMA458756:IMA458771 IVW458756:IVW458771 JFS458756:JFS458771 JPO458756:JPO458771 JZK458756:JZK458771 KJG458756:KJG458771 KTC458756:KTC458771 LCY458756:LCY458771 LMU458756:LMU458771 LWQ458756:LWQ458771 MGM458756:MGM458771 MQI458756:MQI458771 NAE458756:NAE458771 NKA458756:NKA458771 NTW458756:NTW458771 ODS458756:ODS458771 ONO458756:ONO458771 OXK458756:OXK458771 PHG458756:PHG458771 PRC458756:PRC458771 QAY458756:QAY458771 QKU458756:QKU458771 QUQ458756:QUQ458771 REM458756:REM458771 ROI458756:ROI458771 RYE458756:RYE458771 SIA458756:SIA458771 SRW458756:SRW458771 TBS458756:TBS458771 TLO458756:TLO458771 TVK458756:TVK458771 UFG458756:UFG458771 UPC458756:UPC458771 UYY458756:UYY458771 VIU458756:VIU458771 VSQ458756:VSQ458771 WCM458756:WCM458771 WMI458756:WMI458771 WWE458756:WWE458771 S524292:S524307 JS524292:JS524307 TO524292:TO524307 ADK524292:ADK524307 ANG524292:ANG524307 AXC524292:AXC524307 BGY524292:BGY524307 BQU524292:BQU524307 CAQ524292:CAQ524307 CKM524292:CKM524307 CUI524292:CUI524307 DEE524292:DEE524307 DOA524292:DOA524307 DXW524292:DXW524307 EHS524292:EHS524307 ERO524292:ERO524307 FBK524292:FBK524307 FLG524292:FLG524307 FVC524292:FVC524307 GEY524292:GEY524307 GOU524292:GOU524307 GYQ524292:GYQ524307 HIM524292:HIM524307 HSI524292:HSI524307 ICE524292:ICE524307 IMA524292:IMA524307 IVW524292:IVW524307 JFS524292:JFS524307 JPO524292:JPO524307 JZK524292:JZK524307 KJG524292:KJG524307 KTC524292:KTC524307 LCY524292:LCY524307 LMU524292:LMU524307 LWQ524292:LWQ524307 MGM524292:MGM524307 MQI524292:MQI524307 NAE524292:NAE524307 NKA524292:NKA524307 NTW524292:NTW524307 ODS524292:ODS524307 ONO524292:ONO524307 OXK524292:OXK524307 PHG524292:PHG524307 PRC524292:PRC524307 QAY524292:QAY524307 QKU524292:QKU524307 QUQ524292:QUQ524307 REM524292:REM524307 ROI524292:ROI524307 RYE524292:RYE524307 SIA524292:SIA524307 SRW524292:SRW524307 TBS524292:TBS524307 TLO524292:TLO524307 TVK524292:TVK524307 UFG524292:UFG524307 UPC524292:UPC524307 UYY524292:UYY524307 VIU524292:VIU524307 VSQ524292:VSQ524307 WCM524292:WCM524307 WMI524292:WMI524307 WWE524292:WWE524307 S589828:S589843 JS589828:JS589843 TO589828:TO589843 ADK589828:ADK589843 ANG589828:ANG589843 AXC589828:AXC589843 BGY589828:BGY589843 BQU589828:BQU589843 CAQ589828:CAQ589843 CKM589828:CKM589843 CUI589828:CUI589843 DEE589828:DEE589843 DOA589828:DOA589843 DXW589828:DXW589843 EHS589828:EHS589843 ERO589828:ERO589843 FBK589828:FBK589843 FLG589828:FLG589843 FVC589828:FVC589843 GEY589828:GEY589843 GOU589828:GOU589843 GYQ589828:GYQ589843 HIM589828:HIM589843 HSI589828:HSI589843 ICE589828:ICE589843 IMA589828:IMA589843 IVW589828:IVW589843 JFS589828:JFS589843 JPO589828:JPO589843 JZK589828:JZK589843 KJG589828:KJG589843 KTC589828:KTC589843 LCY589828:LCY589843 LMU589828:LMU589843 LWQ589828:LWQ589843 MGM589828:MGM589843 MQI589828:MQI589843 NAE589828:NAE589843 NKA589828:NKA589843 NTW589828:NTW589843 ODS589828:ODS589843 ONO589828:ONO589843 OXK589828:OXK589843 PHG589828:PHG589843 PRC589828:PRC589843 QAY589828:QAY589843 QKU589828:QKU589843 QUQ589828:QUQ589843 REM589828:REM589843 ROI589828:ROI589843 RYE589828:RYE589843 SIA589828:SIA589843 SRW589828:SRW589843 TBS589828:TBS589843 TLO589828:TLO589843 TVK589828:TVK589843 UFG589828:UFG589843 UPC589828:UPC589843 UYY589828:UYY589843 VIU589828:VIU589843 VSQ589828:VSQ589843 WCM589828:WCM589843 WMI589828:WMI589843 WWE589828:WWE589843 S655364:S655379 JS655364:JS655379 TO655364:TO655379 ADK655364:ADK655379 ANG655364:ANG655379 AXC655364:AXC655379 BGY655364:BGY655379 BQU655364:BQU655379 CAQ655364:CAQ655379 CKM655364:CKM655379 CUI655364:CUI655379 DEE655364:DEE655379 DOA655364:DOA655379 DXW655364:DXW655379 EHS655364:EHS655379 ERO655364:ERO655379 FBK655364:FBK655379 FLG655364:FLG655379 FVC655364:FVC655379 GEY655364:GEY655379 GOU655364:GOU655379 GYQ655364:GYQ655379 HIM655364:HIM655379 HSI655364:HSI655379 ICE655364:ICE655379 IMA655364:IMA655379 IVW655364:IVW655379 JFS655364:JFS655379 JPO655364:JPO655379 JZK655364:JZK655379 KJG655364:KJG655379 KTC655364:KTC655379 LCY655364:LCY655379 LMU655364:LMU655379 LWQ655364:LWQ655379 MGM655364:MGM655379 MQI655364:MQI655379 NAE655364:NAE655379 NKA655364:NKA655379 NTW655364:NTW655379 ODS655364:ODS655379 ONO655364:ONO655379 OXK655364:OXK655379 PHG655364:PHG655379 PRC655364:PRC655379 QAY655364:QAY655379 QKU655364:QKU655379 QUQ655364:QUQ655379 REM655364:REM655379 ROI655364:ROI655379 RYE655364:RYE655379 SIA655364:SIA655379 SRW655364:SRW655379 TBS655364:TBS655379 TLO655364:TLO655379 TVK655364:TVK655379 UFG655364:UFG655379 UPC655364:UPC655379 UYY655364:UYY655379 VIU655364:VIU655379 VSQ655364:VSQ655379 WCM655364:WCM655379 WMI655364:WMI655379 WWE655364:WWE655379 S720900:S720915 JS720900:JS720915 TO720900:TO720915 ADK720900:ADK720915 ANG720900:ANG720915 AXC720900:AXC720915 BGY720900:BGY720915 BQU720900:BQU720915 CAQ720900:CAQ720915 CKM720900:CKM720915 CUI720900:CUI720915 DEE720900:DEE720915 DOA720900:DOA720915 DXW720900:DXW720915 EHS720900:EHS720915 ERO720900:ERO720915 FBK720900:FBK720915 FLG720900:FLG720915 FVC720900:FVC720915 GEY720900:GEY720915 GOU720900:GOU720915 GYQ720900:GYQ720915 HIM720900:HIM720915 HSI720900:HSI720915 ICE720900:ICE720915 IMA720900:IMA720915 IVW720900:IVW720915 JFS720900:JFS720915 JPO720900:JPO720915 JZK720900:JZK720915 KJG720900:KJG720915 KTC720900:KTC720915 LCY720900:LCY720915 LMU720900:LMU720915 LWQ720900:LWQ720915 MGM720900:MGM720915 MQI720900:MQI720915 NAE720900:NAE720915 NKA720900:NKA720915 NTW720900:NTW720915 ODS720900:ODS720915 ONO720900:ONO720915 OXK720900:OXK720915 PHG720900:PHG720915 PRC720900:PRC720915 QAY720900:QAY720915 QKU720900:QKU720915 QUQ720900:QUQ720915 REM720900:REM720915 ROI720900:ROI720915 RYE720900:RYE720915 SIA720900:SIA720915 SRW720900:SRW720915 TBS720900:TBS720915 TLO720900:TLO720915 TVK720900:TVK720915 UFG720900:UFG720915 UPC720900:UPC720915 UYY720900:UYY720915 VIU720900:VIU720915 VSQ720900:VSQ720915 WCM720900:WCM720915 WMI720900:WMI720915 WWE720900:WWE720915 S786436:S786451 JS786436:JS786451 TO786436:TO786451 ADK786436:ADK786451 ANG786436:ANG786451 AXC786436:AXC786451 BGY786436:BGY786451 BQU786436:BQU786451 CAQ786436:CAQ786451 CKM786436:CKM786451 CUI786436:CUI786451 DEE786436:DEE786451 DOA786436:DOA786451 DXW786436:DXW786451 EHS786436:EHS786451 ERO786436:ERO786451 FBK786436:FBK786451 FLG786436:FLG786451 FVC786436:FVC786451 GEY786436:GEY786451 GOU786436:GOU786451 GYQ786436:GYQ786451 HIM786436:HIM786451 HSI786436:HSI786451 ICE786436:ICE786451 IMA786436:IMA786451 IVW786436:IVW786451 JFS786436:JFS786451 JPO786436:JPO786451 JZK786436:JZK786451 KJG786436:KJG786451 KTC786436:KTC786451 LCY786436:LCY786451 LMU786436:LMU786451 LWQ786436:LWQ786451 MGM786436:MGM786451 MQI786436:MQI786451 NAE786436:NAE786451 NKA786436:NKA786451 NTW786436:NTW786451 ODS786436:ODS786451 ONO786436:ONO786451 OXK786436:OXK786451 PHG786436:PHG786451 PRC786436:PRC786451 QAY786436:QAY786451 QKU786436:QKU786451 QUQ786436:QUQ786451 REM786436:REM786451 ROI786436:ROI786451 RYE786436:RYE786451 SIA786436:SIA786451 SRW786436:SRW786451 TBS786436:TBS786451 TLO786436:TLO786451 TVK786436:TVK786451 UFG786436:UFG786451 UPC786436:UPC786451 UYY786436:UYY786451 VIU786436:VIU786451 VSQ786436:VSQ786451 WCM786436:WCM786451 WMI786436:WMI786451 WWE786436:WWE786451 S851972:S851987 JS851972:JS851987 TO851972:TO851987 ADK851972:ADK851987 ANG851972:ANG851987 AXC851972:AXC851987 BGY851972:BGY851987 BQU851972:BQU851987 CAQ851972:CAQ851987 CKM851972:CKM851987 CUI851972:CUI851987 DEE851972:DEE851987 DOA851972:DOA851987 DXW851972:DXW851987 EHS851972:EHS851987 ERO851972:ERO851987 FBK851972:FBK851987 FLG851972:FLG851987 FVC851972:FVC851987 GEY851972:GEY851987 GOU851972:GOU851987 GYQ851972:GYQ851987 HIM851972:HIM851987 HSI851972:HSI851987 ICE851972:ICE851987 IMA851972:IMA851987 IVW851972:IVW851987 JFS851972:JFS851987 JPO851972:JPO851987 JZK851972:JZK851987 KJG851972:KJG851987 KTC851972:KTC851987 LCY851972:LCY851987 LMU851972:LMU851987 LWQ851972:LWQ851987 MGM851972:MGM851987 MQI851972:MQI851987 NAE851972:NAE851987 NKA851972:NKA851987 NTW851972:NTW851987 ODS851972:ODS851987 ONO851972:ONO851987 OXK851972:OXK851987 PHG851972:PHG851987 PRC851972:PRC851987 QAY851972:QAY851987 QKU851972:QKU851987 QUQ851972:QUQ851987 REM851972:REM851987 ROI851972:ROI851987 RYE851972:RYE851987 SIA851972:SIA851987 SRW851972:SRW851987 TBS851972:TBS851987 TLO851972:TLO851987 TVK851972:TVK851987 UFG851972:UFG851987 UPC851972:UPC851987 UYY851972:UYY851987 VIU851972:VIU851987 VSQ851972:VSQ851987 WCM851972:WCM851987 WMI851972:WMI851987 WWE851972:WWE851987 S917508:S917523 JS917508:JS917523 TO917508:TO917523 ADK917508:ADK917523 ANG917508:ANG917523 AXC917508:AXC917523 BGY917508:BGY917523 BQU917508:BQU917523 CAQ917508:CAQ917523 CKM917508:CKM917523 CUI917508:CUI917523 DEE917508:DEE917523 DOA917508:DOA917523 DXW917508:DXW917523 EHS917508:EHS917523 ERO917508:ERO917523 FBK917508:FBK917523 FLG917508:FLG917523 FVC917508:FVC917523 GEY917508:GEY917523 GOU917508:GOU917523 GYQ917508:GYQ917523 HIM917508:HIM917523 HSI917508:HSI917523 ICE917508:ICE917523 IMA917508:IMA917523 IVW917508:IVW917523 JFS917508:JFS917523 JPO917508:JPO917523 JZK917508:JZK917523 KJG917508:KJG917523 KTC917508:KTC917523 LCY917508:LCY917523 LMU917508:LMU917523 LWQ917508:LWQ917523 MGM917508:MGM917523 MQI917508:MQI917523 NAE917508:NAE917523 NKA917508:NKA917523 NTW917508:NTW917523 ODS917508:ODS917523 ONO917508:ONO917523 OXK917508:OXK917523 PHG917508:PHG917523 PRC917508:PRC917523 QAY917508:QAY917523 QKU917508:QKU917523 QUQ917508:QUQ917523 REM917508:REM917523 ROI917508:ROI917523 RYE917508:RYE917523 SIA917508:SIA917523 SRW917508:SRW917523 TBS917508:TBS917523 TLO917508:TLO917523 TVK917508:TVK917523 UFG917508:UFG917523 UPC917508:UPC917523 UYY917508:UYY917523 VIU917508:VIU917523 VSQ917508:VSQ917523 WCM917508:WCM917523 WMI917508:WMI917523 WWE917508:WWE917523 S983044:S983059 JS983044:JS983059 TO983044:TO983059 ADK983044:ADK983059 ANG983044:ANG983059 AXC983044:AXC983059 BGY983044:BGY983059 BQU983044:BQU983059 CAQ983044:CAQ983059 CKM983044:CKM983059 CUI983044:CUI983059 DEE983044:DEE983059 DOA983044:DOA983059 DXW983044:DXW983059 EHS983044:EHS983059 ERO983044:ERO983059 FBK983044:FBK983059 FLG983044:FLG983059 FVC983044:FVC983059 GEY983044:GEY983059 GOU983044:GOU983059 GYQ983044:GYQ983059 HIM983044:HIM983059 HSI983044:HSI983059 ICE983044:ICE983059 IMA983044:IMA983059 IVW983044:IVW983059 JFS983044:JFS983059 JPO983044:JPO983059 JZK983044:JZK983059 KJG983044:KJG983059 KTC983044:KTC983059 LCY983044:LCY983059 LMU983044:LMU983059 LWQ983044:LWQ983059 MGM983044:MGM983059 MQI983044:MQI983059 NAE983044:NAE983059 NKA983044:NKA983059 NTW983044:NTW983059 ODS983044:ODS983059 ONO983044:ONO983059 OXK983044:OXK983059 PHG983044:PHG983059 PRC983044:PRC983059 QAY983044:QAY983059 QKU983044:QKU983059 QUQ983044:QUQ983059 REM983044:REM983059 ROI983044:ROI983059 RYE983044:RYE983059 SIA983044:SIA983059 SRW983044:SRW983059 TBS983044:TBS983059 TLO983044:TLO983059 TVK983044:TVK983059 UFG983044:UFG983059 UPC983044:UPC983059 UYY983044:UYY983059 VIU983044:VIU983059 VSQ983044:VSQ983059 WCM983044:WCM983059 WMI983044:WMI983059 WWE983044:WWE983059 WCO983044:WCO983059 JM8:JM23 TI8:TI23 ADE8:ADE23 ANA8:ANA23 AWW8:AWW23 BGS8:BGS23 BQO8:BQO23 CAK8:CAK23 CKG8:CKG23 CUC8:CUC23 DDY8:DDY23 DNU8:DNU23 DXQ8:DXQ23 EHM8:EHM23 ERI8:ERI23 FBE8:FBE23 FLA8:FLA23 FUW8:FUW23 GES8:GES23 GOO8:GOO23 GYK8:GYK23 HIG8:HIG23 HSC8:HSC23 IBY8:IBY23 ILU8:ILU23 IVQ8:IVQ23 JFM8:JFM23 JPI8:JPI23 JZE8:JZE23 KJA8:KJA23 KSW8:KSW23 LCS8:LCS23 LMO8:LMO23 LWK8:LWK23 MGG8:MGG23 MQC8:MQC23 MZY8:MZY23 NJU8:NJU23 NTQ8:NTQ23 ODM8:ODM23 ONI8:ONI23 OXE8:OXE23 PHA8:PHA23 PQW8:PQW23 QAS8:QAS23 QKO8:QKO23 QUK8:QUK23 REG8:REG23 ROC8:ROC23 RXY8:RXY23 SHU8:SHU23 SRQ8:SRQ23 TBM8:TBM23 TLI8:TLI23 TVE8:TVE23 UFA8:UFA23 UOW8:UOW23 UYS8:UYS23 VIO8:VIO23 VSK8:VSK23 WCG8:WCG23 WMC8:WMC23 WVY8:WVY23 I65540:I65555 JM65540:JM65555 TI65540:TI65555 ADE65540:ADE65555 ANA65540:ANA65555 AWW65540:AWW65555 BGS65540:BGS65555 BQO65540:BQO65555 CAK65540:CAK65555 CKG65540:CKG65555 CUC65540:CUC65555 DDY65540:DDY65555 DNU65540:DNU65555 DXQ65540:DXQ65555 EHM65540:EHM65555 ERI65540:ERI65555 FBE65540:FBE65555 FLA65540:FLA65555 FUW65540:FUW65555 GES65540:GES65555 GOO65540:GOO65555 GYK65540:GYK65555 HIG65540:HIG65555 HSC65540:HSC65555 IBY65540:IBY65555 ILU65540:ILU65555 IVQ65540:IVQ65555 JFM65540:JFM65555 JPI65540:JPI65555 JZE65540:JZE65555 KJA65540:KJA65555 KSW65540:KSW65555 LCS65540:LCS65555 LMO65540:LMO65555 LWK65540:LWK65555 MGG65540:MGG65555 MQC65540:MQC65555 MZY65540:MZY65555 NJU65540:NJU65555 NTQ65540:NTQ65555 ODM65540:ODM65555 ONI65540:ONI65555 OXE65540:OXE65555 PHA65540:PHA65555 PQW65540:PQW65555 QAS65540:QAS65555 QKO65540:QKO65555 QUK65540:QUK65555 REG65540:REG65555 ROC65540:ROC65555 RXY65540:RXY65555 SHU65540:SHU65555 SRQ65540:SRQ65555 TBM65540:TBM65555 TLI65540:TLI65555 TVE65540:TVE65555 UFA65540:UFA65555 UOW65540:UOW65555 UYS65540:UYS65555 VIO65540:VIO65555 VSK65540:VSK65555 WCG65540:WCG65555 WMC65540:WMC65555 WVY65540:WVY65555 I131076:I131091 JM131076:JM131091 TI131076:TI131091 ADE131076:ADE131091 ANA131076:ANA131091 AWW131076:AWW131091 BGS131076:BGS131091 BQO131076:BQO131091 CAK131076:CAK131091 CKG131076:CKG131091 CUC131076:CUC131091 DDY131076:DDY131091 DNU131076:DNU131091 DXQ131076:DXQ131091 EHM131076:EHM131091 ERI131076:ERI131091 FBE131076:FBE131091 FLA131076:FLA131091 FUW131076:FUW131091 GES131076:GES131091 GOO131076:GOO131091 GYK131076:GYK131091 HIG131076:HIG131091 HSC131076:HSC131091 IBY131076:IBY131091 ILU131076:ILU131091 IVQ131076:IVQ131091 JFM131076:JFM131091 JPI131076:JPI131091 JZE131076:JZE131091 KJA131076:KJA131091 KSW131076:KSW131091 LCS131076:LCS131091 LMO131076:LMO131091 LWK131076:LWK131091 MGG131076:MGG131091 MQC131076:MQC131091 MZY131076:MZY131091 NJU131076:NJU131091 NTQ131076:NTQ131091 ODM131076:ODM131091 ONI131076:ONI131091 OXE131076:OXE131091 PHA131076:PHA131091 PQW131076:PQW131091 QAS131076:QAS131091 QKO131076:QKO131091 QUK131076:QUK131091 REG131076:REG131091 ROC131076:ROC131091 RXY131076:RXY131091 SHU131076:SHU131091 SRQ131076:SRQ131091 TBM131076:TBM131091 TLI131076:TLI131091 TVE131076:TVE131091 UFA131076:UFA131091 UOW131076:UOW131091 UYS131076:UYS131091 VIO131076:VIO131091 VSK131076:VSK131091 WCG131076:WCG131091 WMC131076:WMC131091 WVY131076:WVY131091 I196612:I196627 JM196612:JM196627 TI196612:TI196627 ADE196612:ADE196627 ANA196612:ANA196627 AWW196612:AWW196627 BGS196612:BGS196627 BQO196612:BQO196627 CAK196612:CAK196627 CKG196612:CKG196627 CUC196612:CUC196627 DDY196612:DDY196627 DNU196612:DNU196627 DXQ196612:DXQ196627 EHM196612:EHM196627 ERI196612:ERI196627 FBE196612:FBE196627 FLA196612:FLA196627 FUW196612:FUW196627 GES196612:GES196627 GOO196612:GOO196627 GYK196612:GYK196627 HIG196612:HIG196627 HSC196612:HSC196627 IBY196612:IBY196627 ILU196612:ILU196627 IVQ196612:IVQ196627 JFM196612:JFM196627 JPI196612:JPI196627 JZE196612:JZE196627 KJA196612:KJA196627 KSW196612:KSW196627 LCS196612:LCS196627 LMO196612:LMO196627 LWK196612:LWK196627 MGG196612:MGG196627 MQC196612:MQC196627 MZY196612:MZY196627 NJU196612:NJU196627 NTQ196612:NTQ196627 ODM196612:ODM196627 ONI196612:ONI196627 OXE196612:OXE196627 PHA196612:PHA196627 PQW196612:PQW196627 QAS196612:QAS196627 QKO196612:QKO196627 QUK196612:QUK196627 REG196612:REG196627 ROC196612:ROC196627 RXY196612:RXY196627 SHU196612:SHU196627 SRQ196612:SRQ196627 TBM196612:TBM196627 TLI196612:TLI196627 TVE196612:TVE196627 UFA196612:UFA196627 UOW196612:UOW196627 UYS196612:UYS196627 VIO196612:VIO196627 VSK196612:VSK196627 WCG196612:WCG196627 WMC196612:WMC196627 WVY196612:WVY196627 I262148:I262163 JM262148:JM262163 TI262148:TI262163 ADE262148:ADE262163 ANA262148:ANA262163 AWW262148:AWW262163 BGS262148:BGS262163 BQO262148:BQO262163 CAK262148:CAK262163 CKG262148:CKG262163 CUC262148:CUC262163 DDY262148:DDY262163 DNU262148:DNU262163 DXQ262148:DXQ262163 EHM262148:EHM262163 ERI262148:ERI262163 FBE262148:FBE262163 FLA262148:FLA262163 FUW262148:FUW262163 GES262148:GES262163 GOO262148:GOO262163 GYK262148:GYK262163 HIG262148:HIG262163 HSC262148:HSC262163 IBY262148:IBY262163 ILU262148:ILU262163 IVQ262148:IVQ262163 JFM262148:JFM262163 JPI262148:JPI262163 JZE262148:JZE262163 KJA262148:KJA262163 KSW262148:KSW262163 LCS262148:LCS262163 LMO262148:LMO262163 LWK262148:LWK262163 MGG262148:MGG262163 MQC262148:MQC262163 MZY262148:MZY262163 NJU262148:NJU262163 NTQ262148:NTQ262163 ODM262148:ODM262163 ONI262148:ONI262163 OXE262148:OXE262163 PHA262148:PHA262163 PQW262148:PQW262163 QAS262148:QAS262163 QKO262148:QKO262163 QUK262148:QUK262163 REG262148:REG262163 ROC262148:ROC262163 RXY262148:RXY262163 SHU262148:SHU262163 SRQ262148:SRQ262163 TBM262148:TBM262163 TLI262148:TLI262163 TVE262148:TVE262163 UFA262148:UFA262163 UOW262148:UOW262163 UYS262148:UYS262163 VIO262148:VIO262163 VSK262148:VSK262163 WCG262148:WCG262163 WMC262148:WMC262163 WVY262148:WVY262163 I327684:I327699 JM327684:JM327699 TI327684:TI327699 ADE327684:ADE327699 ANA327684:ANA327699 AWW327684:AWW327699 BGS327684:BGS327699 BQO327684:BQO327699 CAK327684:CAK327699 CKG327684:CKG327699 CUC327684:CUC327699 DDY327684:DDY327699 DNU327684:DNU327699 DXQ327684:DXQ327699 EHM327684:EHM327699 ERI327684:ERI327699 FBE327684:FBE327699 FLA327684:FLA327699 FUW327684:FUW327699 GES327684:GES327699 GOO327684:GOO327699 GYK327684:GYK327699 HIG327684:HIG327699 HSC327684:HSC327699 IBY327684:IBY327699 ILU327684:ILU327699 IVQ327684:IVQ327699 JFM327684:JFM327699 JPI327684:JPI327699 JZE327684:JZE327699 KJA327684:KJA327699 KSW327684:KSW327699 LCS327684:LCS327699 LMO327684:LMO327699 LWK327684:LWK327699 MGG327684:MGG327699 MQC327684:MQC327699 MZY327684:MZY327699 NJU327684:NJU327699 NTQ327684:NTQ327699 ODM327684:ODM327699 ONI327684:ONI327699 OXE327684:OXE327699 PHA327684:PHA327699 PQW327684:PQW327699 QAS327684:QAS327699 QKO327684:QKO327699 QUK327684:QUK327699 REG327684:REG327699 ROC327684:ROC327699 RXY327684:RXY327699 SHU327684:SHU327699 SRQ327684:SRQ327699 TBM327684:TBM327699 TLI327684:TLI327699 TVE327684:TVE327699 UFA327684:UFA327699 UOW327684:UOW327699 UYS327684:UYS327699 VIO327684:VIO327699 VSK327684:VSK327699 WCG327684:WCG327699 WMC327684:WMC327699 WVY327684:WVY327699 I393220:I393235 JM393220:JM393235 TI393220:TI393235 ADE393220:ADE393235 ANA393220:ANA393235 AWW393220:AWW393235 BGS393220:BGS393235 BQO393220:BQO393235 CAK393220:CAK393235 CKG393220:CKG393235 CUC393220:CUC393235 DDY393220:DDY393235 DNU393220:DNU393235 DXQ393220:DXQ393235 EHM393220:EHM393235 ERI393220:ERI393235 FBE393220:FBE393235 FLA393220:FLA393235 FUW393220:FUW393235 GES393220:GES393235 GOO393220:GOO393235 GYK393220:GYK393235 HIG393220:HIG393235 HSC393220:HSC393235 IBY393220:IBY393235 ILU393220:ILU393235 IVQ393220:IVQ393235 JFM393220:JFM393235 JPI393220:JPI393235 JZE393220:JZE393235 KJA393220:KJA393235 KSW393220:KSW393235 LCS393220:LCS393235 LMO393220:LMO393235 LWK393220:LWK393235 MGG393220:MGG393235 MQC393220:MQC393235 MZY393220:MZY393235 NJU393220:NJU393235 NTQ393220:NTQ393235 ODM393220:ODM393235 ONI393220:ONI393235 OXE393220:OXE393235 PHA393220:PHA393235 PQW393220:PQW393235 QAS393220:QAS393235 QKO393220:QKO393235 QUK393220:QUK393235 REG393220:REG393235 ROC393220:ROC393235 RXY393220:RXY393235 SHU393220:SHU393235 SRQ393220:SRQ393235 TBM393220:TBM393235 TLI393220:TLI393235 TVE393220:TVE393235 UFA393220:UFA393235 UOW393220:UOW393235 UYS393220:UYS393235 VIO393220:VIO393235 VSK393220:VSK393235 WCG393220:WCG393235 WMC393220:WMC393235 WVY393220:WVY393235 I458756:I458771 JM458756:JM458771 TI458756:TI458771 ADE458756:ADE458771 ANA458756:ANA458771 AWW458756:AWW458771 BGS458756:BGS458771 BQO458756:BQO458771 CAK458756:CAK458771 CKG458756:CKG458771 CUC458756:CUC458771 DDY458756:DDY458771 DNU458756:DNU458771 DXQ458756:DXQ458771 EHM458756:EHM458771 ERI458756:ERI458771 FBE458756:FBE458771 FLA458756:FLA458771 FUW458756:FUW458771 GES458756:GES458771 GOO458756:GOO458771 GYK458756:GYK458771 HIG458756:HIG458771 HSC458756:HSC458771 IBY458756:IBY458771 ILU458756:ILU458771 IVQ458756:IVQ458771 JFM458756:JFM458771 JPI458756:JPI458771 JZE458756:JZE458771 KJA458756:KJA458771 KSW458756:KSW458771 LCS458756:LCS458771 LMO458756:LMO458771 LWK458756:LWK458771 MGG458756:MGG458771 MQC458756:MQC458771 MZY458756:MZY458771 NJU458756:NJU458771 NTQ458756:NTQ458771 ODM458756:ODM458771 ONI458756:ONI458771 OXE458756:OXE458771 PHA458756:PHA458771 PQW458756:PQW458771 QAS458756:QAS458771 QKO458756:QKO458771 QUK458756:QUK458771 REG458756:REG458771 ROC458756:ROC458771 RXY458756:RXY458771 SHU458756:SHU458771 SRQ458756:SRQ458771 TBM458756:TBM458771 TLI458756:TLI458771 TVE458756:TVE458771 UFA458756:UFA458771 UOW458756:UOW458771 UYS458756:UYS458771 VIO458756:VIO458771 VSK458756:VSK458771 WCG458756:WCG458771 WMC458756:WMC458771 WVY458756:WVY458771 I524292:I524307 JM524292:JM524307 TI524292:TI524307 ADE524292:ADE524307 ANA524292:ANA524307 AWW524292:AWW524307 BGS524292:BGS524307 BQO524292:BQO524307 CAK524292:CAK524307 CKG524292:CKG524307 CUC524292:CUC524307 DDY524292:DDY524307 DNU524292:DNU524307 DXQ524292:DXQ524307 EHM524292:EHM524307 ERI524292:ERI524307 FBE524292:FBE524307 FLA524292:FLA524307 FUW524292:FUW524307 GES524292:GES524307 GOO524292:GOO524307 GYK524292:GYK524307 HIG524292:HIG524307 HSC524292:HSC524307 IBY524292:IBY524307 ILU524292:ILU524307 IVQ524292:IVQ524307 JFM524292:JFM524307 JPI524292:JPI524307 JZE524292:JZE524307 KJA524292:KJA524307 KSW524292:KSW524307 LCS524292:LCS524307 LMO524292:LMO524307 LWK524292:LWK524307 MGG524292:MGG524307 MQC524292:MQC524307 MZY524292:MZY524307 NJU524292:NJU524307 NTQ524292:NTQ524307 ODM524292:ODM524307 ONI524292:ONI524307 OXE524292:OXE524307 PHA524292:PHA524307 PQW524292:PQW524307 QAS524292:QAS524307 QKO524292:QKO524307 QUK524292:QUK524307 REG524292:REG524307 ROC524292:ROC524307 RXY524292:RXY524307 SHU524292:SHU524307 SRQ524292:SRQ524307 TBM524292:TBM524307 TLI524292:TLI524307 TVE524292:TVE524307 UFA524292:UFA524307 UOW524292:UOW524307 UYS524292:UYS524307 VIO524292:VIO524307 VSK524292:VSK524307 WCG524292:WCG524307 WMC524292:WMC524307 WVY524292:WVY524307 I589828:I589843 JM589828:JM589843 TI589828:TI589843 ADE589828:ADE589843 ANA589828:ANA589843 AWW589828:AWW589843 BGS589828:BGS589843 BQO589828:BQO589843 CAK589828:CAK589843 CKG589828:CKG589843 CUC589828:CUC589843 DDY589828:DDY589843 DNU589828:DNU589843 DXQ589828:DXQ589843 EHM589828:EHM589843 ERI589828:ERI589843 FBE589828:FBE589843 FLA589828:FLA589843 FUW589828:FUW589843 GES589828:GES589843 GOO589828:GOO589843 GYK589828:GYK589843 HIG589828:HIG589843 HSC589828:HSC589843 IBY589828:IBY589843 ILU589828:ILU589843 IVQ589828:IVQ589843 JFM589828:JFM589843 JPI589828:JPI589843 JZE589828:JZE589843 KJA589828:KJA589843 KSW589828:KSW589843 LCS589828:LCS589843 LMO589828:LMO589843 LWK589828:LWK589843 MGG589828:MGG589843 MQC589828:MQC589843 MZY589828:MZY589843 NJU589828:NJU589843 NTQ589828:NTQ589843 ODM589828:ODM589843 ONI589828:ONI589843 OXE589828:OXE589843 PHA589828:PHA589843 PQW589828:PQW589843 QAS589828:QAS589843 QKO589828:QKO589843 QUK589828:QUK589843 REG589828:REG589843 ROC589828:ROC589843 RXY589828:RXY589843 SHU589828:SHU589843 SRQ589828:SRQ589843 TBM589828:TBM589843 TLI589828:TLI589843 TVE589828:TVE589843 UFA589828:UFA589843 UOW589828:UOW589843 UYS589828:UYS589843 VIO589828:VIO589843 VSK589828:VSK589843 WCG589828:WCG589843 WMC589828:WMC589843 WVY589828:WVY589843 I655364:I655379 JM655364:JM655379 TI655364:TI655379 ADE655364:ADE655379 ANA655364:ANA655379 AWW655364:AWW655379 BGS655364:BGS655379 BQO655364:BQO655379 CAK655364:CAK655379 CKG655364:CKG655379 CUC655364:CUC655379 DDY655364:DDY655379 DNU655364:DNU655379 DXQ655364:DXQ655379 EHM655364:EHM655379 ERI655364:ERI655379 FBE655364:FBE655379 FLA655364:FLA655379 FUW655364:FUW655379 GES655364:GES655379 GOO655364:GOO655379 GYK655364:GYK655379 HIG655364:HIG655379 HSC655364:HSC655379 IBY655364:IBY655379 ILU655364:ILU655379 IVQ655364:IVQ655379 JFM655364:JFM655379 JPI655364:JPI655379 JZE655364:JZE655379 KJA655364:KJA655379 KSW655364:KSW655379 LCS655364:LCS655379 LMO655364:LMO655379 LWK655364:LWK655379 MGG655364:MGG655379 MQC655364:MQC655379 MZY655364:MZY655379 NJU655364:NJU655379 NTQ655364:NTQ655379 ODM655364:ODM655379 ONI655364:ONI655379 OXE655364:OXE655379 PHA655364:PHA655379 PQW655364:PQW655379 QAS655364:QAS655379 QKO655364:QKO655379 QUK655364:QUK655379 REG655364:REG655379 ROC655364:ROC655379 RXY655364:RXY655379 SHU655364:SHU655379 SRQ655364:SRQ655379 TBM655364:TBM655379 TLI655364:TLI655379 TVE655364:TVE655379 UFA655364:UFA655379 UOW655364:UOW655379 UYS655364:UYS655379 VIO655364:VIO655379 VSK655364:VSK655379 WCG655364:WCG655379 WMC655364:WMC655379 WVY655364:WVY655379 I720900:I720915 JM720900:JM720915 TI720900:TI720915 ADE720900:ADE720915 ANA720900:ANA720915 AWW720900:AWW720915 BGS720900:BGS720915 BQO720900:BQO720915 CAK720900:CAK720915 CKG720900:CKG720915 CUC720900:CUC720915 DDY720900:DDY720915 DNU720900:DNU720915 DXQ720900:DXQ720915 EHM720900:EHM720915 ERI720900:ERI720915 FBE720900:FBE720915 FLA720900:FLA720915 FUW720900:FUW720915 GES720900:GES720915 GOO720900:GOO720915 GYK720900:GYK720915 HIG720900:HIG720915 HSC720900:HSC720915 IBY720900:IBY720915 ILU720900:ILU720915 IVQ720900:IVQ720915 JFM720900:JFM720915 JPI720900:JPI720915 JZE720900:JZE720915 KJA720900:KJA720915 KSW720900:KSW720915 LCS720900:LCS720915 LMO720900:LMO720915 LWK720900:LWK720915 MGG720900:MGG720915 MQC720900:MQC720915 MZY720900:MZY720915 NJU720900:NJU720915 NTQ720900:NTQ720915 ODM720900:ODM720915 ONI720900:ONI720915 OXE720900:OXE720915 PHA720900:PHA720915 PQW720900:PQW720915 QAS720900:QAS720915 QKO720900:QKO720915 QUK720900:QUK720915 REG720900:REG720915 ROC720900:ROC720915 RXY720900:RXY720915 SHU720900:SHU720915 SRQ720900:SRQ720915 TBM720900:TBM720915 TLI720900:TLI720915 TVE720900:TVE720915 UFA720900:UFA720915 UOW720900:UOW720915 UYS720900:UYS720915 VIO720900:VIO720915 VSK720900:VSK720915 WCG720900:WCG720915 WMC720900:WMC720915 WVY720900:WVY720915 I786436:I786451 JM786436:JM786451 TI786436:TI786451 ADE786436:ADE786451 ANA786436:ANA786451 AWW786436:AWW786451 BGS786436:BGS786451 BQO786436:BQO786451 CAK786436:CAK786451 CKG786436:CKG786451 CUC786436:CUC786451 DDY786436:DDY786451 DNU786436:DNU786451 DXQ786436:DXQ786451 EHM786436:EHM786451 ERI786436:ERI786451 FBE786436:FBE786451 FLA786436:FLA786451 FUW786436:FUW786451 GES786436:GES786451 GOO786436:GOO786451 GYK786436:GYK786451 HIG786436:HIG786451 HSC786436:HSC786451 IBY786436:IBY786451 ILU786436:ILU786451 IVQ786436:IVQ786451 JFM786436:JFM786451 JPI786436:JPI786451 JZE786436:JZE786451 KJA786436:KJA786451 KSW786436:KSW786451 LCS786436:LCS786451 LMO786436:LMO786451 LWK786436:LWK786451 MGG786436:MGG786451 MQC786436:MQC786451 MZY786436:MZY786451 NJU786436:NJU786451 NTQ786436:NTQ786451 ODM786436:ODM786451 ONI786436:ONI786451 OXE786436:OXE786451 PHA786436:PHA786451 PQW786436:PQW786451 QAS786436:QAS786451 QKO786436:QKO786451 QUK786436:QUK786451 REG786436:REG786451 ROC786436:ROC786451 RXY786436:RXY786451 SHU786436:SHU786451 SRQ786436:SRQ786451 TBM786436:TBM786451 TLI786436:TLI786451 TVE786436:TVE786451 UFA786436:UFA786451 UOW786436:UOW786451 UYS786436:UYS786451 VIO786436:VIO786451 VSK786436:VSK786451 WCG786436:WCG786451 WMC786436:WMC786451 WVY786436:WVY786451 I851972:I851987 JM851972:JM851987 TI851972:TI851987 ADE851972:ADE851987 ANA851972:ANA851987 AWW851972:AWW851987 BGS851972:BGS851987 BQO851972:BQO851987 CAK851972:CAK851987 CKG851972:CKG851987 CUC851972:CUC851987 DDY851972:DDY851987 DNU851972:DNU851987 DXQ851972:DXQ851987 EHM851972:EHM851987 ERI851972:ERI851987 FBE851972:FBE851987 FLA851972:FLA851987 FUW851972:FUW851987 GES851972:GES851987 GOO851972:GOO851987 GYK851972:GYK851987 HIG851972:HIG851987 HSC851972:HSC851987 IBY851972:IBY851987 ILU851972:ILU851987 IVQ851972:IVQ851987 JFM851972:JFM851987 JPI851972:JPI851987 JZE851972:JZE851987 KJA851972:KJA851987 KSW851972:KSW851987 LCS851972:LCS851987 LMO851972:LMO851987 LWK851972:LWK851987 MGG851972:MGG851987 MQC851972:MQC851987 MZY851972:MZY851987 NJU851972:NJU851987 NTQ851972:NTQ851987 ODM851972:ODM851987 ONI851972:ONI851987 OXE851972:OXE851987 PHA851972:PHA851987 PQW851972:PQW851987 QAS851972:QAS851987 QKO851972:QKO851987 QUK851972:QUK851987 REG851972:REG851987 ROC851972:ROC851987 RXY851972:RXY851987 SHU851972:SHU851987 SRQ851972:SRQ851987 TBM851972:TBM851987 TLI851972:TLI851987 TVE851972:TVE851987 UFA851972:UFA851987 UOW851972:UOW851987 UYS851972:UYS851987 VIO851972:VIO851987 VSK851972:VSK851987 WCG851972:WCG851987 WMC851972:WMC851987 WVY851972:WVY851987 I917508:I917523 JM917508:JM917523 TI917508:TI917523 ADE917508:ADE917523 ANA917508:ANA917523 AWW917508:AWW917523 BGS917508:BGS917523 BQO917508:BQO917523 CAK917508:CAK917523 CKG917508:CKG917523 CUC917508:CUC917523 DDY917508:DDY917523 DNU917508:DNU917523 DXQ917508:DXQ917523 EHM917508:EHM917523 ERI917508:ERI917523 FBE917508:FBE917523 FLA917508:FLA917523 FUW917508:FUW917523 GES917508:GES917523 GOO917508:GOO917523 GYK917508:GYK917523 HIG917508:HIG917523 HSC917508:HSC917523 IBY917508:IBY917523 ILU917508:ILU917523 IVQ917508:IVQ917523 JFM917508:JFM917523 JPI917508:JPI917523 JZE917508:JZE917523 KJA917508:KJA917523 KSW917508:KSW917523 LCS917508:LCS917523 LMO917508:LMO917523 LWK917508:LWK917523 MGG917508:MGG917523 MQC917508:MQC917523 MZY917508:MZY917523 NJU917508:NJU917523 NTQ917508:NTQ917523 ODM917508:ODM917523 ONI917508:ONI917523 OXE917508:OXE917523 PHA917508:PHA917523 PQW917508:PQW917523 QAS917508:QAS917523 QKO917508:QKO917523 QUK917508:QUK917523 REG917508:REG917523 ROC917508:ROC917523 RXY917508:RXY917523 SHU917508:SHU917523 SRQ917508:SRQ917523 TBM917508:TBM917523 TLI917508:TLI917523 TVE917508:TVE917523 UFA917508:UFA917523 UOW917508:UOW917523 UYS917508:UYS917523 VIO917508:VIO917523 VSK917508:VSK917523 WCG917508:WCG917523 WMC917508:WMC917523 WVY917508:WVY917523 I983044:I983059 JM983044:JM983059 TI983044:TI983059 ADE983044:ADE983059 ANA983044:ANA983059 AWW983044:AWW983059 BGS983044:BGS983059 BQO983044:BQO983059 CAK983044:CAK983059 CKG983044:CKG983059 CUC983044:CUC983059 DDY983044:DDY983059 DNU983044:DNU983059 DXQ983044:DXQ983059 EHM983044:EHM983059 ERI983044:ERI983059 FBE983044:FBE983059 FLA983044:FLA983059 FUW983044:FUW983059 GES983044:GES983059 GOO983044:GOO983059 GYK983044:GYK983059 HIG983044:HIG983059 HSC983044:HSC983059 IBY983044:IBY983059 ILU983044:ILU983059 IVQ983044:IVQ983059 JFM983044:JFM983059 JPI983044:JPI983059 JZE983044:JZE983059 KJA983044:KJA983059 KSW983044:KSW983059 LCS983044:LCS983059 LMO983044:LMO983059 LWK983044:LWK983059 MGG983044:MGG983059 MQC983044:MQC983059 MZY983044:MZY983059 NJU983044:NJU983059 NTQ983044:NTQ983059 ODM983044:ODM983059 ONI983044:ONI983059 OXE983044:OXE983059 PHA983044:PHA983059 PQW983044:PQW983059 QAS983044:QAS983059 QKO983044:QKO983059 QUK983044:QUK983059 REG983044:REG983059 ROC983044:ROC983059 RXY983044:RXY983059 SHU983044:SHU983059 SRQ983044:SRQ983059 TBM983044:TBM983059 TLI983044:TLI983059 TVE983044:TVE983059 UFA983044:UFA983059 UOW983044:UOW983059 UYS983044:UYS983059 VIO983044:VIO983059 VSK983044:VSK983059 WCG983044:WCG983059 WMC983044:WMC983059 WVY983044:WVY983059 VSS983044:VSS983059 JO8:JO23 TK8:TK23 ADG8:ADG23 ANC8:ANC23 AWY8:AWY23 BGU8:BGU23 BQQ8:BQQ23 CAM8:CAM23 CKI8:CKI23 CUE8:CUE23 DEA8:DEA23 DNW8:DNW23 DXS8:DXS23 EHO8:EHO23 ERK8:ERK23 FBG8:FBG23 FLC8:FLC23 FUY8:FUY23 GEU8:GEU23 GOQ8:GOQ23 GYM8:GYM23 HII8:HII23 HSE8:HSE23 ICA8:ICA23 ILW8:ILW23 IVS8:IVS23 JFO8:JFO23 JPK8:JPK23 JZG8:JZG23 KJC8:KJC23 KSY8:KSY23 LCU8:LCU23 LMQ8:LMQ23 LWM8:LWM23 MGI8:MGI23 MQE8:MQE23 NAA8:NAA23 NJW8:NJW23 NTS8:NTS23 ODO8:ODO23 ONK8:ONK23 OXG8:OXG23 PHC8:PHC23 PQY8:PQY23 QAU8:QAU23 QKQ8:QKQ23 QUM8:QUM23 REI8:REI23 ROE8:ROE23 RYA8:RYA23 SHW8:SHW23 SRS8:SRS23 TBO8:TBO23 TLK8:TLK23 TVG8:TVG23 UFC8:UFC23 UOY8:UOY23 UYU8:UYU23 VIQ8:VIQ23 VSM8:VSM23 WCI8:WCI23 WME8:WME23 WWA8:WWA23 K65540:K65555 JO65540:JO65555 TK65540:TK65555 ADG65540:ADG65555 ANC65540:ANC65555 AWY65540:AWY65555 BGU65540:BGU65555 BQQ65540:BQQ65555 CAM65540:CAM65555 CKI65540:CKI65555 CUE65540:CUE65555 DEA65540:DEA65555 DNW65540:DNW65555 DXS65540:DXS65555 EHO65540:EHO65555 ERK65540:ERK65555 FBG65540:FBG65555 FLC65540:FLC65555 FUY65540:FUY65555 GEU65540:GEU65555 GOQ65540:GOQ65555 GYM65540:GYM65555 HII65540:HII65555 HSE65540:HSE65555 ICA65540:ICA65555 ILW65540:ILW65555 IVS65540:IVS65555 JFO65540:JFO65555 JPK65540:JPK65555 JZG65540:JZG65555 KJC65540:KJC65555 KSY65540:KSY65555 LCU65540:LCU65555 LMQ65540:LMQ65555 LWM65540:LWM65555 MGI65540:MGI65555 MQE65540:MQE65555 NAA65540:NAA65555 NJW65540:NJW65555 NTS65540:NTS65555 ODO65540:ODO65555 ONK65540:ONK65555 OXG65540:OXG65555 PHC65540:PHC65555 PQY65540:PQY65555 QAU65540:QAU65555 QKQ65540:QKQ65555 QUM65540:QUM65555 REI65540:REI65555 ROE65540:ROE65555 RYA65540:RYA65555 SHW65540:SHW65555 SRS65540:SRS65555 TBO65540:TBO65555 TLK65540:TLK65555 TVG65540:TVG65555 UFC65540:UFC65555 UOY65540:UOY65555 UYU65540:UYU65555 VIQ65540:VIQ65555 VSM65540:VSM65555 WCI65540:WCI65555 WME65540:WME65555 WWA65540:WWA65555 K131076:K131091 JO131076:JO131091 TK131076:TK131091 ADG131076:ADG131091 ANC131076:ANC131091 AWY131076:AWY131091 BGU131076:BGU131091 BQQ131076:BQQ131091 CAM131076:CAM131091 CKI131076:CKI131091 CUE131076:CUE131091 DEA131076:DEA131091 DNW131076:DNW131091 DXS131076:DXS131091 EHO131076:EHO131091 ERK131076:ERK131091 FBG131076:FBG131091 FLC131076:FLC131091 FUY131076:FUY131091 GEU131076:GEU131091 GOQ131076:GOQ131091 GYM131076:GYM131091 HII131076:HII131091 HSE131076:HSE131091 ICA131076:ICA131091 ILW131076:ILW131091 IVS131076:IVS131091 JFO131076:JFO131091 JPK131076:JPK131091 JZG131076:JZG131091 KJC131076:KJC131091 KSY131076:KSY131091 LCU131076:LCU131091 LMQ131076:LMQ131091 LWM131076:LWM131091 MGI131076:MGI131091 MQE131076:MQE131091 NAA131076:NAA131091 NJW131076:NJW131091 NTS131076:NTS131091 ODO131076:ODO131091 ONK131076:ONK131091 OXG131076:OXG131091 PHC131076:PHC131091 PQY131076:PQY131091 QAU131076:QAU131091 QKQ131076:QKQ131091 QUM131076:QUM131091 REI131076:REI131091 ROE131076:ROE131091 RYA131076:RYA131091 SHW131076:SHW131091 SRS131076:SRS131091 TBO131076:TBO131091 TLK131076:TLK131091 TVG131076:TVG131091 UFC131076:UFC131091 UOY131076:UOY131091 UYU131076:UYU131091 VIQ131076:VIQ131091 VSM131076:VSM131091 WCI131076:WCI131091 WME131076:WME131091 WWA131076:WWA131091 K196612:K196627 JO196612:JO196627 TK196612:TK196627 ADG196612:ADG196627 ANC196612:ANC196627 AWY196612:AWY196627 BGU196612:BGU196627 BQQ196612:BQQ196627 CAM196612:CAM196627 CKI196612:CKI196627 CUE196612:CUE196627 DEA196612:DEA196627 DNW196612:DNW196627 DXS196612:DXS196627 EHO196612:EHO196627 ERK196612:ERK196627 FBG196612:FBG196627 FLC196612:FLC196627 FUY196612:FUY196627 GEU196612:GEU196627 GOQ196612:GOQ196627 GYM196612:GYM196627 HII196612:HII196627 HSE196612:HSE196627 ICA196612:ICA196627 ILW196612:ILW196627 IVS196612:IVS196627 JFO196612:JFO196627 JPK196612:JPK196627 JZG196612:JZG196627 KJC196612:KJC196627 KSY196612:KSY196627 LCU196612:LCU196627 LMQ196612:LMQ196627 LWM196612:LWM196627 MGI196612:MGI196627 MQE196612:MQE196627 NAA196612:NAA196627 NJW196612:NJW196627 NTS196612:NTS196627 ODO196612:ODO196627 ONK196612:ONK196627 OXG196612:OXG196627 PHC196612:PHC196627 PQY196612:PQY196627 QAU196612:QAU196627 QKQ196612:QKQ196627 QUM196612:QUM196627 REI196612:REI196627 ROE196612:ROE196627 RYA196612:RYA196627 SHW196612:SHW196627 SRS196612:SRS196627 TBO196612:TBO196627 TLK196612:TLK196627 TVG196612:TVG196627 UFC196612:UFC196627 UOY196612:UOY196627 UYU196612:UYU196627 VIQ196612:VIQ196627 VSM196612:VSM196627 WCI196612:WCI196627 WME196612:WME196627 WWA196612:WWA196627 K262148:K262163 JO262148:JO262163 TK262148:TK262163 ADG262148:ADG262163 ANC262148:ANC262163 AWY262148:AWY262163 BGU262148:BGU262163 BQQ262148:BQQ262163 CAM262148:CAM262163 CKI262148:CKI262163 CUE262148:CUE262163 DEA262148:DEA262163 DNW262148:DNW262163 DXS262148:DXS262163 EHO262148:EHO262163 ERK262148:ERK262163 FBG262148:FBG262163 FLC262148:FLC262163 FUY262148:FUY262163 GEU262148:GEU262163 GOQ262148:GOQ262163 GYM262148:GYM262163 HII262148:HII262163 HSE262148:HSE262163 ICA262148:ICA262163 ILW262148:ILW262163 IVS262148:IVS262163 JFO262148:JFO262163 JPK262148:JPK262163 JZG262148:JZG262163 KJC262148:KJC262163 KSY262148:KSY262163 LCU262148:LCU262163 LMQ262148:LMQ262163 LWM262148:LWM262163 MGI262148:MGI262163 MQE262148:MQE262163 NAA262148:NAA262163 NJW262148:NJW262163 NTS262148:NTS262163 ODO262148:ODO262163 ONK262148:ONK262163 OXG262148:OXG262163 PHC262148:PHC262163 PQY262148:PQY262163 QAU262148:QAU262163 QKQ262148:QKQ262163 QUM262148:QUM262163 REI262148:REI262163 ROE262148:ROE262163 RYA262148:RYA262163 SHW262148:SHW262163 SRS262148:SRS262163 TBO262148:TBO262163 TLK262148:TLK262163 TVG262148:TVG262163 UFC262148:UFC262163 UOY262148:UOY262163 UYU262148:UYU262163 VIQ262148:VIQ262163 VSM262148:VSM262163 WCI262148:WCI262163 WME262148:WME262163 WWA262148:WWA262163 K327684:K327699 JO327684:JO327699 TK327684:TK327699 ADG327684:ADG327699 ANC327684:ANC327699 AWY327684:AWY327699 BGU327684:BGU327699 BQQ327684:BQQ327699 CAM327684:CAM327699 CKI327684:CKI327699 CUE327684:CUE327699 DEA327684:DEA327699 DNW327684:DNW327699 DXS327684:DXS327699 EHO327684:EHO327699 ERK327684:ERK327699 FBG327684:FBG327699 FLC327684:FLC327699 FUY327684:FUY327699 GEU327684:GEU327699 GOQ327684:GOQ327699 GYM327684:GYM327699 HII327684:HII327699 HSE327684:HSE327699 ICA327684:ICA327699 ILW327684:ILW327699 IVS327684:IVS327699 JFO327684:JFO327699 JPK327684:JPK327699 JZG327684:JZG327699 KJC327684:KJC327699 KSY327684:KSY327699 LCU327684:LCU327699 LMQ327684:LMQ327699 LWM327684:LWM327699 MGI327684:MGI327699 MQE327684:MQE327699 NAA327684:NAA327699 NJW327684:NJW327699 NTS327684:NTS327699 ODO327684:ODO327699 ONK327684:ONK327699 OXG327684:OXG327699 PHC327684:PHC327699 PQY327684:PQY327699 QAU327684:QAU327699 QKQ327684:QKQ327699 QUM327684:QUM327699 REI327684:REI327699 ROE327684:ROE327699 RYA327684:RYA327699 SHW327684:SHW327699 SRS327684:SRS327699 TBO327684:TBO327699 TLK327684:TLK327699 TVG327684:TVG327699 UFC327684:UFC327699 UOY327684:UOY327699 UYU327684:UYU327699 VIQ327684:VIQ327699 VSM327684:VSM327699 WCI327684:WCI327699 WME327684:WME327699 WWA327684:WWA327699 K393220:K393235 JO393220:JO393235 TK393220:TK393235 ADG393220:ADG393235 ANC393220:ANC393235 AWY393220:AWY393235 BGU393220:BGU393235 BQQ393220:BQQ393235 CAM393220:CAM393235 CKI393220:CKI393235 CUE393220:CUE393235 DEA393220:DEA393235 DNW393220:DNW393235 DXS393220:DXS393235 EHO393220:EHO393235 ERK393220:ERK393235 FBG393220:FBG393235 FLC393220:FLC393235 FUY393220:FUY393235 GEU393220:GEU393235 GOQ393220:GOQ393235 GYM393220:GYM393235 HII393220:HII393235 HSE393220:HSE393235 ICA393220:ICA393235 ILW393220:ILW393235 IVS393220:IVS393235 JFO393220:JFO393235 JPK393220:JPK393235 JZG393220:JZG393235 KJC393220:KJC393235 KSY393220:KSY393235 LCU393220:LCU393235 LMQ393220:LMQ393235 LWM393220:LWM393235 MGI393220:MGI393235 MQE393220:MQE393235 NAA393220:NAA393235 NJW393220:NJW393235 NTS393220:NTS393235 ODO393220:ODO393235 ONK393220:ONK393235 OXG393220:OXG393235 PHC393220:PHC393235 PQY393220:PQY393235 QAU393220:QAU393235 QKQ393220:QKQ393235 QUM393220:QUM393235 REI393220:REI393235 ROE393220:ROE393235 RYA393220:RYA393235 SHW393220:SHW393235 SRS393220:SRS393235 TBO393220:TBO393235 TLK393220:TLK393235 TVG393220:TVG393235 UFC393220:UFC393235 UOY393220:UOY393235 UYU393220:UYU393235 VIQ393220:VIQ393235 VSM393220:VSM393235 WCI393220:WCI393235 WME393220:WME393235 WWA393220:WWA393235 K458756:K458771 JO458756:JO458771 TK458756:TK458771 ADG458756:ADG458771 ANC458756:ANC458771 AWY458756:AWY458771 BGU458756:BGU458771 BQQ458756:BQQ458771 CAM458756:CAM458771 CKI458756:CKI458771 CUE458756:CUE458771 DEA458756:DEA458771 DNW458756:DNW458771 DXS458756:DXS458771 EHO458756:EHO458771 ERK458756:ERK458771 FBG458756:FBG458771 FLC458756:FLC458771 FUY458756:FUY458771 GEU458756:GEU458771 GOQ458756:GOQ458771 GYM458756:GYM458771 HII458756:HII458771 HSE458756:HSE458771 ICA458756:ICA458771 ILW458756:ILW458771 IVS458756:IVS458771 JFO458756:JFO458771 JPK458756:JPK458771 JZG458756:JZG458771 KJC458756:KJC458771 KSY458756:KSY458771 LCU458756:LCU458771 LMQ458756:LMQ458771 LWM458756:LWM458771 MGI458756:MGI458771 MQE458756:MQE458771 NAA458756:NAA458771 NJW458756:NJW458771 NTS458756:NTS458771 ODO458756:ODO458771 ONK458756:ONK458771 OXG458756:OXG458771 PHC458756:PHC458771 PQY458756:PQY458771 QAU458756:QAU458771 QKQ458756:QKQ458771 QUM458756:QUM458771 REI458756:REI458771 ROE458756:ROE458771 RYA458756:RYA458771 SHW458756:SHW458771 SRS458756:SRS458771 TBO458756:TBO458771 TLK458756:TLK458771 TVG458756:TVG458771 UFC458756:UFC458771 UOY458756:UOY458771 UYU458756:UYU458771 VIQ458756:VIQ458771 VSM458756:VSM458771 WCI458756:WCI458771 WME458756:WME458771 WWA458756:WWA458771 K524292:K524307 JO524292:JO524307 TK524292:TK524307 ADG524292:ADG524307 ANC524292:ANC524307 AWY524292:AWY524307 BGU524292:BGU524307 BQQ524292:BQQ524307 CAM524292:CAM524307 CKI524292:CKI524307 CUE524292:CUE524307 DEA524292:DEA524307 DNW524292:DNW524307 DXS524292:DXS524307 EHO524292:EHO524307 ERK524292:ERK524307 FBG524292:FBG524307 FLC524292:FLC524307 FUY524292:FUY524307 GEU524292:GEU524307 GOQ524292:GOQ524307 GYM524292:GYM524307 HII524292:HII524307 HSE524292:HSE524307 ICA524292:ICA524307 ILW524292:ILW524307 IVS524292:IVS524307 JFO524292:JFO524307 JPK524292:JPK524307 JZG524292:JZG524307 KJC524292:KJC524307 KSY524292:KSY524307 LCU524292:LCU524307 LMQ524292:LMQ524307 LWM524292:LWM524307 MGI524292:MGI524307 MQE524292:MQE524307 NAA524292:NAA524307 NJW524292:NJW524307 NTS524292:NTS524307 ODO524292:ODO524307 ONK524292:ONK524307 OXG524292:OXG524307 PHC524292:PHC524307 PQY524292:PQY524307 QAU524292:QAU524307 QKQ524292:QKQ524307 QUM524292:QUM524307 REI524292:REI524307 ROE524292:ROE524307 RYA524292:RYA524307 SHW524292:SHW524307 SRS524292:SRS524307 TBO524292:TBO524307 TLK524292:TLK524307 TVG524292:TVG524307 UFC524292:UFC524307 UOY524292:UOY524307 UYU524292:UYU524307 VIQ524292:VIQ524307 VSM524292:VSM524307 WCI524292:WCI524307 WME524292:WME524307 WWA524292:WWA524307 K589828:K589843 JO589828:JO589843 TK589828:TK589843 ADG589828:ADG589843 ANC589828:ANC589843 AWY589828:AWY589843 BGU589828:BGU589843 BQQ589828:BQQ589843 CAM589828:CAM589843 CKI589828:CKI589843 CUE589828:CUE589843 DEA589828:DEA589843 DNW589828:DNW589843 DXS589828:DXS589843 EHO589828:EHO589843 ERK589828:ERK589843 FBG589828:FBG589843 FLC589828:FLC589843 FUY589828:FUY589843 GEU589828:GEU589843 GOQ589828:GOQ589843 GYM589828:GYM589843 HII589828:HII589843 HSE589828:HSE589843 ICA589828:ICA589843 ILW589828:ILW589843 IVS589828:IVS589843 JFO589828:JFO589843 JPK589828:JPK589843 JZG589828:JZG589843 KJC589828:KJC589843 KSY589828:KSY589843 LCU589828:LCU589843 LMQ589828:LMQ589843 LWM589828:LWM589843 MGI589828:MGI589843 MQE589828:MQE589843 NAA589828:NAA589843 NJW589828:NJW589843 NTS589828:NTS589843 ODO589828:ODO589843 ONK589828:ONK589843 OXG589828:OXG589843 PHC589828:PHC589843 PQY589828:PQY589843 QAU589828:QAU589843 QKQ589828:QKQ589843 QUM589828:QUM589843 REI589828:REI589843 ROE589828:ROE589843 RYA589828:RYA589843 SHW589828:SHW589843 SRS589828:SRS589843 TBO589828:TBO589843 TLK589828:TLK589843 TVG589828:TVG589843 UFC589828:UFC589843 UOY589828:UOY589843 UYU589828:UYU589843 VIQ589828:VIQ589843 VSM589828:VSM589843 WCI589828:WCI589843 WME589828:WME589843 WWA589828:WWA589843 K655364:K655379 JO655364:JO655379 TK655364:TK655379 ADG655364:ADG655379 ANC655364:ANC655379 AWY655364:AWY655379 BGU655364:BGU655379 BQQ655364:BQQ655379 CAM655364:CAM655379 CKI655364:CKI655379 CUE655364:CUE655379 DEA655364:DEA655379 DNW655364:DNW655379 DXS655364:DXS655379 EHO655364:EHO655379 ERK655364:ERK655379 FBG655364:FBG655379 FLC655364:FLC655379 FUY655364:FUY655379 GEU655364:GEU655379 GOQ655364:GOQ655379 GYM655364:GYM655379 HII655364:HII655379 HSE655364:HSE655379 ICA655364:ICA655379 ILW655364:ILW655379 IVS655364:IVS655379 JFO655364:JFO655379 JPK655364:JPK655379 JZG655364:JZG655379 KJC655364:KJC655379 KSY655364:KSY655379 LCU655364:LCU655379 LMQ655364:LMQ655379 LWM655364:LWM655379 MGI655364:MGI655379 MQE655364:MQE655379 NAA655364:NAA655379 NJW655364:NJW655379 NTS655364:NTS655379 ODO655364:ODO655379 ONK655364:ONK655379 OXG655364:OXG655379 PHC655364:PHC655379 PQY655364:PQY655379 QAU655364:QAU655379 QKQ655364:QKQ655379 QUM655364:QUM655379 REI655364:REI655379 ROE655364:ROE655379 RYA655364:RYA655379 SHW655364:SHW655379 SRS655364:SRS655379 TBO655364:TBO655379 TLK655364:TLK655379 TVG655364:TVG655379 UFC655364:UFC655379 UOY655364:UOY655379 UYU655364:UYU655379 VIQ655364:VIQ655379 VSM655364:VSM655379 WCI655364:WCI655379 WME655364:WME655379 WWA655364:WWA655379 K720900:K720915 JO720900:JO720915 TK720900:TK720915 ADG720900:ADG720915 ANC720900:ANC720915 AWY720900:AWY720915 BGU720900:BGU720915 BQQ720900:BQQ720915 CAM720900:CAM720915 CKI720900:CKI720915 CUE720900:CUE720915 DEA720900:DEA720915 DNW720900:DNW720915 DXS720900:DXS720915 EHO720900:EHO720915 ERK720900:ERK720915 FBG720900:FBG720915 FLC720900:FLC720915 FUY720900:FUY720915 GEU720900:GEU720915 GOQ720900:GOQ720915 GYM720900:GYM720915 HII720900:HII720915 HSE720900:HSE720915 ICA720900:ICA720915 ILW720900:ILW720915 IVS720900:IVS720915 JFO720900:JFO720915 JPK720900:JPK720915 JZG720900:JZG720915 KJC720900:KJC720915 KSY720900:KSY720915 LCU720900:LCU720915 LMQ720900:LMQ720915 LWM720900:LWM720915 MGI720900:MGI720915 MQE720900:MQE720915 NAA720900:NAA720915 NJW720900:NJW720915 NTS720900:NTS720915 ODO720900:ODO720915 ONK720900:ONK720915 OXG720900:OXG720915 PHC720900:PHC720915 PQY720900:PQY720915 QAU720900:QAU720915 QKQ720900:QKQ720915 QUM720900:QUM720915 REI720900:REI720915 ROE720900:ROE720915 RYA720900:RYA720915 SHW720900:SHW720915 SRS720900:SRS720915 TBO720900:TBO720915 TLK720900:TLK720915 TVG720900:TVG720915 UFC720900:UFC720915 UOY720900:UOY720915 UYU720900:UYU720915 VIQ720900:VIQ720915 VSM720900:VSM720915 WCI720900:WCI720915 WME720900:WME720915 WWA720900:WWA720915 K786436:K786451 JO786436:JO786451 TK786436:TK786451 ADG786436:ADG786451 ANC786436:ANC786451 AWY786436:AWY786451 BGU786436:BGU786451 BQQ786436:BQQ786451 CAM786436:CAM786451 CKI786436:CKI786451 CUE786436:CUE786451 DEA786436:DEA786451 DNW786436:DNW786451 DXS786436:DXS786451 EHO786436:EHO786451 ERK786436:ERK786451 FBG786436:FBG786451 FLC786436:FLC786451 FUY786436:FUY786451 GEU786436:GEU786451 GOQ786436:GOQ786451 GYM786436:GYM786451 HII786436:HII786451 HSE786436:HSE786451 ICA786436:ICA786451 ILW786436:ILW786451 IVS786436:IVS786451 JFO786436:JFO786451 JPK786436:JPK786451 JZG786436:JZG786451 KJC786436:KJC786451 KSY786436:KSY786451 LCU786436:LCU786451 LMQ786436:LMQ786451 LWM786436:LWM786451 MGI786436:MGI786451 MQE786436:MQE786451 NAA786436:NAA786451 NJW786436:NJW786451 NTS786436:NTS786451 ODO786436:ODO786451 ONK786436:ONK786451 OXG786436:OXG786451 PHC786436:PHC786451 PQY786436:PQY786451 QAU786436:QAU786451 QKQ786436:QKQ786451 QUM786436:QUM786451 REI786436:REI786451 ROE786436:ROE786451 RYA786436:RYA786451 SHW786436:SHW786451 SRS786436:SRS786451 TBO786436:TBO786451 TLK786436:TLK786451 TVG786436:TVG786451 UFC786436:UFC786451 UOY786436:UOY786451 UYU786436:UYU786451 VIQ786436:VIQ786451 VSM786436:VSM786451 WCI786436:WCI786451 WME786436:WME786451 WWA786436:WWA786451 K851972:K851987 JO851972:JO851987 TK851972:TK851987 ADG851972:ADG851987 ANC851972:ANC851987 AWY851972:AWY851987 BGU851972:BGU851987 BQQ851972:BQQ851987 CAM851972:CAM851987 CKI851972:CKI851987 CUE851972:CUE851987 DEA851972:DEA851987 DNW851972:DNW851987 DXS851972:DXS851987 EHO851972:EHO851987 ERK851972:ERK851987 FBG851972:FBG851987 FLC851972:FLC851987 FUY851972:FUY851987 GEU851972:GEU851987 GOQ851972:GOQ851987 GYM851972:GYM851987 HII851972:HII851987 HSE851972:HSE851987 ICA851972:ICA851987 ILW851972:ILW851987 IVS851972:IVS851987 JFO851972:JFO851987 JPK851972:JPK851987 JZG851972:JZG851987 KJC851972:KJC851987 KSY851972:KSY851987 LCU851972:LCU851987 LMQ851972:LMQ851987 LWM851972:LWM851987 MGI851972:MGI851987 MQE851972:MQE851987 NAA851972:NAA851987 NJW851972:NJW851987 NTS851972:NTS851987 ODO851972:ODO851987 ONK851972:ONK851987 OXG851972:OXG851987 PHC851972:PHC851987 PQY851972:PQY851987 QAU851972:QAU851987 QKQ851972:QKQ851987 QUM851972:QUM851987 REI851972:REI851987 ROE851972:ROE851987 RYA851972:RYA851987 SHW851972:SHW851987 SRS851972:SRS851987 TBO851972:TBO851987 TLK851972:TLK851987 TVG851972:TVG851987 UFC851972:UFC851987 UOY851972:UOY851987 UYU851972:UYU851987 VIQ851972:VIQ851987 VSM851972:VSM851987 WCI851972:WCI851987 WME851972:WME851987 WWA851972:WWA851987 K917508:K917523 JO917508:JO917523 TK917508:TK917523 ADG917508:ADG917523 ANC917508:ANC917523 AWY917508:AWY917523 BGU917508:BGU917523 BQQ917508:BQQ917523 CAM917508:CAM917523 CKI917508:CKI917523 CUE917508:CUE917523 DEA917508:DEA917523 DNW917508:DNW917523 DXS917508:DXS917523 EHO917508:EHO917523 ERK917508:ERK917523 FBG917508:FBG917523 FLC917508:FLC917523 FUY917508:FUY917523 GEU917508:GEU917523 GOQ917508:GOQ917523 GYM917508:GYM917523 HII917508:HII917523 HSE917508:HSE917523 ICA917508:ICA917523 ILW917508:ILW917523 IVS917508:IVS917523 JFO917508:JFO917523 JPK917508:JPK917523 JZG917508:JZG917523 KJC917508:KJC917523 KSY917508:KSY917523 LCU917508:LCU917523 LMQ917508:LMQ917523 LWM917508:LWM917523 MGI917508:MGI917523 MQE917508:MQE917523 NAA917508:NAA917523 NJW917508:NJW917523 NTS917508:NTS917523 ODO917508:ODO917523 ONK917508:ONK917523 OXG917508:OXG917523 PHC917508:PHC917523 PQY917508:PQY917523 QAU917508:QAU917523 QKQ917508:QKQ917523 QUM917508:QUM917523 REI917508:REI917523 ROE917508:ROE917523 RYA917508:RYA917523 SHW917508:SHW917523 SRS917508:SRS917523 TBO917508:TBO917523 TLK917508:TLK917523 TVG917508:TVG917523 UFC917508:UFC917523 UOY917508:UOY917523 UYU917508:UYU917523 VIQ917508:VIQ917523 VSM917508:VSM917523 WCI917508:WCI917523 WME917508:WME917523 WWA917508:WWA917523 K983044:K983059 JO983044:JO983059 TK983044:TK983059 ADG983044:ADG983059 ANC983044:ANC983059 AWY983044:AWY983059 BGU983044:BGU983059 BQQ983044:BQQ983059 CAM983044:CAM983059 CKI983044:CKI983059 CUE983044:CUE983059 DEA983044:DEA983059 DNW983044:DNW983059 DXS983044:DXS983059 EHO983044:EHO983059 ERK983044:ERK983059 FBG983044:FBG983059 FLC983044:FLC983059 FUY983044:FUY983059 GEU983044:GEU983059 GOQ983044:GOQ983059 GYM983044:GYM983059 HII983044:HII983059 HSE983044:HSE983059 ICA983044:ICA983059 ILW983044:ILW983059 IVS983044:IVS983059 JFO983044:JFO983059 JPK983044:JPK983059 JZG983044:JZG983059 KJC983044:KJC983059 KSY983044:KSY983059 LCU983044:LCU983059 LMQ983044:LMQ983059 LWM983044:LWM983059 MGI983044:MGI983059 MQE983044:MQE983059 NAA983044:NAA983059 NJW983044:NJW983059 NTS983044:NTS983059 ODO983044:ODO983059 ONK983044:ONK983059 OXG983044:OXG983059 PHC983044:PHC983059 PQY983044:PQY983059 QAU983044:QAU983059 QKQ983044:QKQ983059 QUM983044:QUM983059 REI983044:REI983059 ROE983044:ROE983059 RYA983044:RYA983059 SHW983044:SHW983059 SRS983044:SRS983059 TBO983044:TBO983059 TLK983044:TLK983059 TVG983044:TVG983059 UFC983044:UFC983059 UOY983044:UOY983059 UYU983044:UYU983059 VIQ983044:VIQ983059 VSM983044:VSM983059 WCI983044:WCI983059 WME983044:WME983059 WWA983044:WWA983059 VIW983044:VIW983059 JQ8:JQ23 TM8:TM23 ADI8:ADI23 ANE8:ANE23 AXA8:AXA23 BGW8:BGW23 BQS8:BQS23 CAO8:CAO23 CKK8:CKK23 CUG8:CUG23 DEC8:DEC23 DNY8:DNY23 DXU8:DXU23 EHQ8:EHQ23 ERM8:ERM23 FBI8:FBI23 FLE8:FLE23 FVA8:FVA23 GEW8:GEW23 GOS8:GOS23 GYO8:GYO23 HIK8:HIK23 HSG8:HSG23 ICC8:ICC23 ILY8:ILY23 IVU8:IVU23 JFQ8:JFQ23 JPM8:JPM23 JZI8:JZI23 KJE8:KJE23 KTA8:KTA23 LCW8:LCW23 LMS8:LMS23 LWO8:LWO23 MGK8:MGK23 MQG8:MQG23 NAC8:NAC23 NJY8:NJY23 NTU8:NTU23 ODQ8:ODQ23 ONM8:ONM23 OXI8:OXI23 PHE8:PHE23 PRA8:PRA23 QAW8:QAW23 QKS8:QKS23 QUO8:QUO23 REK8:REK23 ROG8:ROG23 RYC8:RYC23 SHY8:SHY23 SRU8:SRU23 TBQ8:TBQ23 TLM8:TLM23 TVI8:TVI23 UFE8:UFE23 UPA8:UPA23 UYW8:UYW23 VIS8:VIS23 VSO8:VSO23 WCK8:WCK23 WMG8:WMG23 WWC8:WWC23 Q65540:Q65555 JQ65540:JQ65555 TM65540:TM65555 ADI65540:ADI65555 ANE65540:ANE65555 AXA65540:AXA65555 BGW65540:BGW65555 BQS65540:BQS65555 CAO65540:CAO65555 CKK65540:CKK65555 CUG65540:CUG65555 DEC65540:DEC65555 DNY65540:DNY65555 DXU65540:DXU65555 EHQ65540:EHQ65555 ERM65540:ERM65555 FBI65540:FBI65555 FLE65540:FLE65555 FVA65540:FVA65555 GEW65540:GEW65555 GOS65540:GOS65555 GYO65540:GYO65555 HIK65540:HIK65555 HSG65540:HSG65555 ICC65540:ICC65555 ILY65540:ILY65555 IVU65540:IVU65555 JFQ65540:JFQ65555 JPM65540:JPM65555 JZI65540:JZI65555 KJE65540:KJE65555 KTA65540:KTA65555 LCW65540:LCW65555 LMS65540:LMS65555 LWO65540:LWO65555 MGK65540:MGK65555 MQG65540:MQG65555 NAC65540:NAC65555 NJY65540:NJY65555 NTU65540:NTU65555 ODQ65540:ODQ65555 ONM65540:ONM65555 OXI65540:OXI65555 PHE65540:PHE65555 PRA65540:PRA65555 QAW65540:QAW65555 QKS65540:QKS65555 QUO65540:QUO65555 REK65540:REK65555 ROG65540:ROG65555 RYC65540:RYC65555 SHY65540:SHY65555 SRU65540:SRU65555 TBQ65540:TBQ65555 TLM65540:TLM65555 TVI65540:TVI65555 UFE65540:UFE65555 UPA65540:UPA65555 UYW65540:UYW65555 VIS65540:VIS65555 VSO65540:VSO65555 WCK65540:WCK65555 WMG65540:WMG65555 WWC65540:WWC65555 Q131076:Q131091 JQ131076:JQ131091 TM131076:TM131091 ADI131076:ADI131091 ANE131076:ANE131091 AXA131076:AXA131091 BGW131076:BGW131091 BQS131076:BQS131091 CAO131076:CAO131091 CKK131076:CKK131091 CUG131076:CUG131091 DEC131076:DEC131091 DNY131076:DNY131091 DXU131076:DXU131091 EHQ131076:EHQ131091 ERM131076:ERM131091 FBI131076:FBI131091 FLE131076:FLE131091 FVA131076:FVA131091 GEW131076:GEW131091 GOS131076:GOS131091 GYO131076:GYO131091 HIK131076:HIK131091 HSG131076:HSG131091 ICC131076:ICC131091 ILY131076:ILY131091 IVU131076:IVU131091 JFQ131076:JFQ131091 JPM131076:JPM131091 JZI131076:JZI131091 KJE131076:KJE131091 KTA131076:KTA131091 LCW131076:LCW131091 LMS131076:LMS131091 LWO131076:LWO131091 MGK131076:MGK131091 MQG131076:MQG131091 NAC131076:NAC131091 NJY131076:NJY131091 NTU131076:NTU131091 ODQ131076:ODQ131091 ONM131076:ONM131091 OXI131076:OXI131091 PHE131076:PHE131091 PRA131076:PRA131091 QAW131076:QAW131091 QKS131076:QKS131091 QUO131076:QUO131091 REK131076:REK131091 ROG131076:ROG131091 RYC131076:RYC131091 SHY131076:SHY131091 SRU131076:SRU131091 TBQ131076:TBQ131091 TLM131076:TLM131091 TVI131076:TVI131091 UFE131076:UFE131091 UPA131076:UPA131091 UYW131076:UYW131091 VIS131076:VIS131091 VSO131076:VSO131091 WCK131076:WCK131091 WMG131076:WMG131091 WWC131076:WWC131091 Q196612:Q196627 JQ196612:JQ196627 TM196612:TM196627 ADI196612:ADI196627 ANE196612:ANE196627 AXA196612:AXA196627 BGW196612:BGW196627 BQS196612:BQS196627 CAO196612:CAO196627 CKK196612:CKK196627 CUG196612:CUG196627 DEC196612:DEC196627 DNY196612:DNY196627 DXU196612:DXU196627 EHQ196612:EHQ196627 ERM196612:ERM196627 FBI196612:FBI196627 FLE196612:FLE196627 FVA196612:FVA196627 GEW196612:GEW196627 GOS196612:GOS196627 GYO196612:GYO196627 HIK196612:HIK196627 HSG196612:HSG196627 ICC196612:ICC196627 ILY196612:ILY196627 IVU196612:IVU196627 JFQ196612:JFQ196627 JPM196612:JPM196627 JZI196612:JZI196627 KJE196612:KJE196627 KTA196612:KTA196627 LCW196612:LCW196627 LMS196612:LMS196627 LWO196612:LWO196627 MGK196612:MGK196627 MQG196612:MQG196627 NAC196612:NAC196627 NJY196612:NJY196627 NTU196612:NTU196627 ODQ196612:ODQ196627 ONM196612:ONM196627 OXI196612:OXI196627 PHE196612:PHE196627 PRA196612:PRA196627 QAW196612:QAW196627 QKS196612:QKS196627 QUO196612:QUO196627 REK196612:REK196627 ROG196612:ROG196627 RYC196612:RYC196627 SHY196612:SHY196627 SRU196612:SRU196627 TBQ196612:TBQ196627 TLM196612:TLM196627 TVI196612:TVI196627 UFE196612:UFE196627 UPA196612:UPA196627 UYW196612:UYW196627 VIS196612:VIS196627 VSO196612:VSO196627 WCK196612:WCK196627 WMG196612:WMG196627 WWC196612:WWC196627 Q262148:Q262163 JQ262148:JQ262163 TM262148:TM262163 ADI262148:ADI262163 ANE262148:ANE262163 AXA262148:AXA262163 BGW262148:BGW262163 BQS262148:BQS262163 CAO262148:CAO262163 CKK262148:CKK262163 CUG262148:CUG262163 DEC262148:DEC262163 DNY262148:DNY262163 DXU262148:DXU262163 EHQ262148:EHQ262163 ERM262148:ERM262163 FBI262148:FBI262163 FLE262148:FLE262163 FVA262148:FVA262163 GEW262148:GEW262163 GOS262148:GOS262163 GYO262148:GYO262163 HIK262148:HIK262163 HSG262148:HSG262163 ICC262148:ICC262163 ILY262148:ILY262163 IVU262148:IVU262163 JFQ262148:JFQ262163 JPM262148:JPM262163 JZI262148:JZI262163 KJE262148:KJE262163 KTA262148:KTA262163 LCW262148:LCW262163 LMS262148:LMS262163 LWO262148:LWO262163 MGK262148:MGK262163 MQG262148:MQG262163 NAC262148:NAC262163 NJY262148:NJY262163 NTU262148:NTU262163 ODQ262148:ODQ262163 ONM262148:ONM262163 OXI262148:OXI262163 PHE262148:PHE262163 PRA262148:PRA262163 QAW262148:QAW262163 QKS262148:QKS262163 QUO262148:QUO262163 REK262148:REK262163 ROG262148:ROG262163 RYC262148:RYC262163 SHY262148:SHY262163 SRU262148:SRU262163 TBQ262148:TBQ262163 TLM262148:TLM262163 TVI262148:TVI262163 UFE262148:UFE262163 UPA262148:UPA262163 UYW262148:UYW262163 VIS262148:VIS262163 VSO262148:VSO262163 WCK262148:WCK262163 WMG262148:WMG262163 WWC262148:WWC262163 Q327684:Q327699 JQ327684:JQ327699 TM327684:TM327699 ADI327684:ADI327699 ANE327684:ANE327699 AXA327684:AXA327699 BGW327684:BGW327699 BQS327684:BQS327699 CAO327684:CAO327699 CKK327684:CKK327699 CUG327684:CUG327699 DEC327684:DEC327699 DNY327684:DNY327699 DXU327684:DXU327699 EHQ327684:EHQ327699 ERM327684:ERM327699 FBI327684:FBI327699 FLE327684:FLE327699 FVA327684:FVA327699 GEW327684:GEW327699 GOS327684:GOS327699 GYO327684:GYO327699 HIK327684:HIK327699 HSG327684:HSG327699 ICC327684:ICC327699 ILY327684:ILY327699 IVU327684:IVU327699 JFQ327684:JFQ327699 JPM327684:JPM327699 JZI327684:JZI327699 KJE327684:KJE327699 KTA327684:KTA327699 LCW327684:LCW327699 LMS327684:LMS327699 LWO327684:LWO327699 MGK327684:MGK327699 MQG327684:MQG327699 NAC327684:NAC327699 NJY327684:NJY327699 NTU327684:NTU327699 ODQ327684:ODQ327699 ONM327684:ONM327699 OXI327684:OXI327699 PHE327684:PHE327699 PRA327684:PRA327699 QAW327684:QAW327699 QKS327684:QKS327699 QUO327684:QUO327699 REK327684:REK327699 ROG327684:ROG327699 RYC327684:RYC327699 SHY327684:SHY327699 SRU327684:SRU327699 TBQ327684:TBQ327699 TLM327684:TLM327699 TVI327684:TVI327699 UFE327684:UFE327699 UPA327684:UPA327699 UYW327684:UYW327699 VIS327684:VIS327699 VSO327684:VSO327699 WCK327684:WCK327699 WMG327684:WMG327699 WWC327684:WWC327699 Q393220:Q393235 JQ393220:JQ393235 TM393220:TM393235 ADI393220:ADI393235 ANE393220:ANE393235 AXA393220:AXA393235 BGW393220:BGW393235 BQS393220:BQS393235 CAO393220:CAO393235 CKK393220:CKK393235 CUG393220:CUG393235 DEC393220:DEC393235 DNY393220:DNY393235 DXU393220:DXU393235 EHQ393220:EHQ393235 ERM393220:ERM393235 FBI393220:FBI393235 FLE393220:FLE393235 FVA393220:FVA393235 GEW393220:GEW393235 GOS393220:GOS393235 GYO393220:GYO393235 HIK393220:HIK393235 HSG393220:HSG393235 ICC393220:ICC393235 ILY393220:ILY393235 IVU393220:IVU393235 JFQ393220:JFQ393235 JPM393220:JPM393235 JZI393220:JZI393235 KJE393220:KJE393235 KTA393220:KTA393235 LCW393220:LCW393235 LMS393220:LMS393235 LWO393220:LWO393235 MGK393220:MGK393235 MQG393220:MQG393235 NAC393220:NAC393235 NJY393220:NJY393235 NTU393220:NTU393235 ODQ393220:ODQ393235 ONM393220:ONM393235 OXI393220:OXI393235 PHE393220:PHE393235 PRA393220:PRA393235 QAW393220:QAW393235 QKS393220:QKS393235 QUO393220:QUO393235 REK393220:REK393235 ROG393220:ROG393235 RYC393220:RYC393235 SHY393220:SHY393235 SRU393220:SRU393235 TBQ393220:TBQ393235 TLM393220:TLM393235 TVI393220:TVI393235 UFE393220:UFE393235 UPA393220:UPA393235 UYW393220:UYW393235 VIS393220:VIS393235 VSO393220:VSO393235 WCK393220:WCK393235 WMG393220:WMG393235 WWC393220:WWC393235 Q458756:Q458771 JQ458756:JQ458771 TM458756:TM458771 ADI458756:ADI458771 ANE458756:ANE458771 AXA458756:AXA458771 BGW458756:BGW458771 BQS458756:BQS458771 CAO458756:CAO458771 CKK458756:CKK458771 CUG458756:CUG458771 DEC458756:DEC458771 DNY458756:DNY458771 DXU458756:DXU458771 EHQ458756:EHQ458771 ERM458756:ERM458771 FBI458756:FBI458771 FLE458756:FLE458771 FVA458756:FVA458771 GEW458756:GEW458771 GOS458756:GOS458771 GYO458756:GYO458771 HIK458756:HIK458771 HSG458756:HSG458771 ICC458756:ICC458771 ILY458756:ILY458771 IVU458756:IVU458771 JFQ458756:JFQ458771 JPM458756:JPM458771 JZI458756:JZI458771 KJE458756:KJE458771 KTA458756:KTA458771 LCW458756:LCW458771 LMS458756:LMS458771 LWO458756:LWO458771 MGK458756:MGK458771 MQG458756:MQG458771 NAC458756:NAC458771 NJY458756:NJY458771 NTU458756:NTU458771 ODQ458756:ODQ458771 ONM458756:ONM458771 OXI458756:OXI458771 PHE458756:PHE458771 PRA458756:PRA458771 QAW458756:QAW458771 QKS458756:QKS458771 QUO458756:QUO458771 REK458756:REK458771 ROG458756:ROG458771 RYC458756:RYC458771 SHY458756:SHY458771 SRU458756:SRU458771 TBQ458756:TBQ458771 TLM458756:TLM458771 TVI458756:TVI458771 UFE458756:UFE458771 UPA458756:UPA458771 UYW458756:UYW458771 VIS458756:VIS458771 VSO458756:VSO458771 WCK458756:WCK458771 WMG458756:WMG458771 WWC458756:WWC458771 Q524292:Q524307 JQ524292:JQ524307 TM524292:TM524307 ADI524292:ADI524307 ANE524292:ANE524307 AXA524292:AXA524307 BGW524292:BGW524307 BQS524292:BQS524307 CAO524292:CAO524307 CKK524292:CKK524307 CUG524292:CUG524307 DEC524292:DEC524307 DNY524292:DNY524307 DXU524292:DXU524307 EHQ524292:EHQ524307 ERM524292:ERM524307 FBI524292:FBI524307 FLE524292:FLE524307 FVA524292:FVA524307 GEW524292:GEW524307 GOS524292:GOS524307 GYO524292:GYO524307 HIK524292:HIK524307 HSG524292:HSG524307 ICC524292:ICC524307 ILY524292:ILY524307 IVU524292:IVU524307 JFQ524292:JFQ524307 JPM524292:JPM524307 JZI524292:JZI524307 KJE524292:KJE524307 KTA524292:KTA524307 LCW524292:LCW524307 LMS524292:LMS524307 LWO524292:LWO524307 MGK524292:MGK524307 MQG524292:MQG524307 NAC524292:NAC524307 NJY524292:NJY524307 NTU524292:NTU524307 ODQ524292:ODQ524307 ONM524292:ONM524307 OXI524292:OXI524307 PHE524292:PHE524307 PRA524292:PRA524307 QAW524292:QAW524307 QKS524292:QKS524307 QUO524292:QUO524307 REK524292:REK524307 ROG524292:ROG524307 RYC524292:RYC524307 SHY524292:SHY524307 SRU524292:SRU524307 TBQ524292:TBQ524307 TLM524292:TLM524307 TVI524292:TVI524307 UFE524292:UFE524307 UPA524292:UPA524307 UYW524292:UYW524307 VIS524292:VIS524307 VSO524292:VSO524307 WCK524292:WCK524307 WMG524292:WMG524307 WWC524292:WWC524307 Q589828:Q589843 JQ589828:JQ589843 TM589828:TM589843 ADI589828:ADI589843 ANE589828:ANE589843 AXA589828:AXA589843 BGW589828:BGW589843 BQS589828:BQS589843 CAO589828:CAO589843 CKK589828:CKK589843 CUG589828:CUG589843 DEC589828:DEC589843 DNY589828:DNY589843 DXU589828:DXU589843 EHQ589828:EHQ589843 ERM589828:ERM589843 FBI589828:FBI589843 FLE589828:FLE589843 FVA589828:FVA589843 GEW589828:GEW589843 GOS589828:GOS589843 GYO589828:GYO589843 HIK589828:HIK589843 HSG589828:HSG589843 ICC589828:ICC589843 ILY589828:ILY589843 IVU589828:IVU589843 JFQ589828:JFQ589843 JPM589828:JPM589843 JZI589828:JZI589843 KJE589828:KJE589843 KTA589828:KTA589843 LCW589828:LCW589843 LMS589828:LMS589843 LWO589828:LWO589843 MGK589828:MGK589843 MQG589828:MQG589843 NAC589828:NAC589843 NJY589828:NJY589843 NTU589828:NTU589843 ODQ589828:ODQ589843 ONM589828:ONM589843 OXI589828:OXI589843 PHE589828:PHE589843 PRA589828:PRA589843 QAW589828:QAW589843 QKS589828:QKS589843 QUO589828:QUO589843 REK589828:REK589843 ROG589828:ROG589843 RYC589828:RYC589843 SHY589828:SHY589843 SRU589828:SRU589843 TBQ589828:TBQ589843 TLM589828:TLM589843 TVI589828:TVI589843 UFE589828:UFE589843 UPA589828:UPA589843 UYW589828:UYW589843 VIS589828:VIS589843 VSO589828:VSO589843 WCK589828:WCK589843 WMG589828:WMG589843 WWC589828:WWC589843 Q655364:Q655379 JQ655364:JQ655379 TM655364:TM655379 ADI655364:ADI655379 ANE655364:ANE655379 AXA655364:AXA655379 BGW655364:BGW655379 BQS655364:BQS655379 CAO655364:CAO655379 CKK655364:CKK655379 CUG655364:CUG655379 DEC655364:DEC655379 DNY655364:DNY655379 DXU655364:DXU655379 EHQ655364:EHQ655379 ERM655364:ERM655379 FBI655364:FBI655379 FLE655364:FLE655379 FVA655364:FVA655379 GEW655364:GEW655379 GOS655364:GOS655379 GYO655364:GYO655379 HIK655364:HIK655379 HSG655364:HSG655379 ICC655364:ICC655379 ILY655364:ILY655379 IVU655364:IVU655379 JFQ655364:JFQ655379 JPM655364:JPM655379 JZI655364:JZI655379 KJE655364:KJE655379 KTA655364:KTA655379 LCW655364:LCW655379 LMS655364:LMS655379 LWO655364:LWO655379 MGK655364:MGK655379 MQG655364:MQG655379 NAC655364:NAC655379 NJY655364:NJY655379 NTU655364:NTU655379 ODQ655364:ODQ655379 ONM655364:ONM655379 OXI655364:OXI655379 PHE655364:PHE655379 PRA655364:PRA655379 QAW655364:QAW655379 QKS655364:QKS655379 QUO655364:QUO655379 REK655364:REK655379 ROG655364:ROG655379 RYC655364:RYC655379 SHY655364:SHY655379 SRU655364:SRU655379 TBQ655364:TBQ655379 TLM655364:TLM655379 TVI655364:TVI655379 UFE655364:UFE655379 UPA655364:UPA655379 UYW655364:UYW655379 VIS655364:VIS655379 VSO655364:VSO655379 WCK655364:WCK655379 WMG655364:WMG655379 WWC655364:WWC655379 Q720900:Q720915 JQ720900:JQ720915 TM720900:TM720915 ADI720900:ADI720915 ANE720900:ANE720915 AXA720900:AXA720915 BGW720900:BGW720915 BQS720900:BQS720915 CAO720900:CAO720915 CKK720900:CKK720915 CUG720900:CUG720915 DEC720900:DEC720915 DNY720900:DNY720915 DXU720900:DXU720915 EHQ720900:EHQ720915 ERM720900:ERM720915 FBI720900:FBI720915 FLE720900:FLE720915 FVA720900:FVA720915 GEW720900:GEW720915 GOS720900:GOS720915 GYO720900:GYO720915 HIK720900:HIK720915 HSG720900:HSG720915 ICC720900:ICC720915 ILY720900:ILY720915 IVU720900:IVU720915 JFQ720900:JFQ720915 JPM720900:JPM720915 JZI720900:JZI720915 KJE720900:KJE720915 KTA720900:KTA720915 LCW720900:LCW720915 LMS720900:LMS720915 LWO720900:LWO720915 MGK720900:MGK720915 MQG720900:MQG720915 NAC720900:NAC720915 NJY720900:NJY720915 NTU720900:NTU720915 ODQ720900:ODQ720915 ONM720900:ONM720915 OXI720900:OXI720915 PHE720900:PHE720915 PRA720900:PRA720915 QAW720900:QAW720915 QKS720900:QKS720915 QUO720900:QUO720915 REK720900:REK720915 ROG720900:ROG720915 RYC720900:RYC720915 SHY720900:SHY720915 SRU720900:SRU720915 TBQ720900:TBQ720915 TLM720900:TLM720915 TVI720900:TVI720915 UFE720900:UFE720915 UPA720900:UPA720915 UYW720900:UYW720915 VIS720900:VIS720915 VSO720900:VSO720915 WCK720900:WCK720915 WMG720900:WMG720915 WWC720900:WWC720915 Q786436:Q786451 JQ786436:JQ786451 TM786436:TM786451 ADI786436:ADI786451 ANE786436:ANE786451 AXA786436:AXA786451 BGW786436:BGW786451 BQS786436:BQS786451 CAO786436:CAO786451 CKK786436:CKK786451 CUG786436:CUG786451 DEC786436:DEC786451 DNY786436:DNY786451 DXU786436:DXU786451 EHQ786436:EHQ786451 ERM786436:ERM786451 FBI786436:FBI786451 FLE786436:FLE786451 FVA786436:FVA786451 GEW786436:GEW786451 GOS786436:GOS786451 GYO786436:GYO786451 HIK786436:HIK786451 HSG786436:HSG786451 ICC786436:ICC786451 ILY786436:ILY786451 IVU786436:IVU786451 JFQ786436:JFQ786451 JPM786436:JPM786451 JZI786436:JZI786451 KJE786436:KJE786451 KTA786436:KTA786451 LCW786436:LCW786451 LMS786436:LMS786451 LWO786436:LWO786451 MGK786436:MGK786451 MQG786436:MQG786451 NAC786436:NAC786451 NJY786436:NJY786451 NTU786436:NTU786451 ODQ786436:ODQ786451 ONM786436:ONM786451 OXI786436:OXI786451 PHE786436:PHE786451 PRA786436:PRA786451 QAW786436:QAW786451 QKS786436:QKS786451 QUO786436:QUO786451 REK786436:REK786451 ROG786436:ROG786451 RYC786436:RYC786451 SHY786436:SHY786451 SRU786436:SRU786451 TBQ786436:TBQ786451 TLM786436:TLM786451 TVI786436:TVI786451 UFE786436:UFE786451 UPA786436:UPA786451 UYW786436:UYW786451 VIS786436:VIS786451 VSO786436:VSO786451 WCK786436:WCK786451 WMG786436:WMG786451 WWC786436:WWC786451 Q851972:Q851987 JQ851972:JQ851987 TM851972:TM851987 ADI851972:ADI851987 ANE851972:ANE851987 AXA851972:AXA851987 BGW851972:BGW851987 BQS851972:BQS851987 CAO851972:CAO851987 CKK851972:CKK851987 CUG851972:CUG851987 DEC851972:DEC851987 DNY851972:DNY851987 DXU851972:DXU851987 EHQ851972:EHQ851987 ERM851972:ERM851987 FBI851972:FBI851987 FLE851972:FLE851987 FVA851972:FVA851987 GEW851972:GEW851987 GOS851972:GOS851987 GYO851972:GYO851987 HIK851972:HIK851987 HSG851972:HSG851987 ICC851972:ICC851987 ILY851972:ILY851987 IVU851972:IVU851987 JFQ851972:JFQ851987 JPM851972:JPM851987 JZI851972:JZI851987 KJE851972:KJE851987 KTA851972:KTA851987 LCW851972:LCW851987 LMS851972:LMS851987 LWO851972:LWO851987 MGK851972:MGK851987 MQG851972:MQG851987 NAC851972:NAC851987 NJY851972:NJY851987 NTU851972:NTU851987 ODQ851972:ODQ851987 ONM851972:ONM851987 OXI851972:OXI851987 PHE851972:PHE851987 PRA851972:PRA851987 QAW851972:QAW851987 QKS851972:QKS851987 QUO851972:QUO851987 REK851972:REK851987 ROG851972:ROG851987 RYC851972:RYC851987 SHY851972:SHY851987 SRU851972:SRU851987 TBQ851972:TBQ851987 TLM851972:TLM851987 TVI851972:TVI851987 UFE851972:UFE851987 UPA851972:UPA851987 UYW851972:UYW851987 VIS851972:VIS851987 VSO851972:VSO851987 WCK851972:WCK851987 WMG851972:WMG851987 WWC851972:WWC851987 Q917508:Q917523 JQ917508:JQ917523 TM917508:TM917523 ADI917508:ADI917523 ANE917508:ANE917523 AXA917508:AXA917523 BGW917508:BGW917523 BQS917508:BQS917523 CAO917508:CAO917523 CKK917508:CKK917523 CUG917508:CUG917523 DEC917508:DEC917523 DNY917508:DNY917523 DXU917508:DXU917523 EHQ917508:EHQ917523 ERM917508:ERM917523 FBI917508:FBI917523 FLE917508:FLE917523 FVA917508:FVA917523 GEW917508:GEW917523 GOS917508:GOS917523 GYO917508:GYO917523 HIK917508:HIK917523 HSG917508:HSG917523 ICC917508:ICC917523 ILY917508:ILY917523 IVU917508:IVU917523 JFQ917508:JFQ917523 JPM917508:JPM917523 JZI917508:JZI917523 KJE917508:KJE917523 KTA917508:KTA917523 LCW917508:LCW917523 LMS917508:LMS917523 LWO917508:LWO917523 MGK917508:MGK917523 MQG917508:MQG917523 NAC917508:NAC917523 NJY917508:NJY917523 NTU917508:NTU917523 ODQ917508:ODQ917523 ONM917508:ONM917523 OXI917508:OXI917523 PHE917508:PHE917523 PRA917508:PRA917523 QAW917508:QAW917523 QKS917508:QKS917523 QUO917508:QUO917523 REK917508:REK917523 ROG917508:ROG917523 RYC917508:RYC917523 SHY917508:SHY917523 SRU917508:SRU917523 TBQ917508:TBQ917523 TLM917508:TLM917523 TVI917508:TVI917523 UFE917508:UFE917523 UPA917508:UPA917523 UYW917508:UYW917523 VIS917508:VIS917523 VSO917508:VSO917523 WCK917508:WCK917523 WMG917508:WMG917523 WWC917508:WWC917523 Q983044:Q983059 JQ983044:JQ983059 TM983044:TM983059 ADI983044:ADI983059 ANE983044:ANE983059 AXA983044:AXA983059 BGW983044:BGW983059 BQS983044:BQS983059 CAO983044:CAO983059 CKK983044:CKK983059 CUG983044:CUG983059 DEC983044:DEC983059 DNY983044:DNY983059 DXU983044:DXU983059 EHQ983044:EHQ983059 ERM983044:ERM983059 FBI983044:FBI983059 FLE983044:FLE983059 FVA983044:FVA983059 GEW983044:GEW983059 GOS983044:GOS983059 GYO983044:GYO983059 HIK983044:HIK983059 HSG983044:HSG983059 ICC983044:ICC983059 ILY983044:ILY983059 IVU983044:IVU983059 JFQ983044:JFQ983059 JPM983044:JPM983059 JZI983044:JZI983059 KJE983044:KJE983059 KTA983044:KTA983059 LCW983044:LCW983059 LMS983044:LMS983059 LWO983044:LWO983059 MGK983044:MGK983059 MQG983044:MQG983059 NAC983044:NAC983059 NJY983044:NJY983059 NTU983044:NTU983059 ODQ983044:ODQ983059 ONM983044:ONM983059 OXI983044:OXI983059 PHE983044:PHE983059 PRA983044:PRA983059 QAW983044:QAW983059 QKS983044:QKS983059 QUO983044:QUO983059 REK983044:REK983059 ROG983044:ROG983059 RYC983044:RYC983059 SHY983044:SHY983059 SRU983044:SRU983059 TBQ983044:TBQ983059 TLM983044:TLM983059 TVI983044:TVI983059 UFE983044:UFE983059 UPA983044:UPA983059 UYW983044:UYW983059 VIS983044:VIS983059 VSO983044:VSO983059 WCK983044:WCK983059 WMG983044:WMG983059 WWC983044:WWC983059 WMK983044:WMK983059 JU8:JU23 TQ8:TQ23 ADM8:ADM23 ANI8:ANI23 AXE8:AXE23 BHA8:BHA23 BQW8:BQW23 CAS8:CAS23 CKO8:CKO23 CUK8:CUK23 DEG8:DEG23 DOC8:DOC23 DXY8:DXY23 EHU8:EHU23 ERQ8:ERQ23 FBM8:FBM23 FLI8:FLI23 FVE8:FVE23 GFA8:GFA23 GOW8:GOW23 GYS8:GYS23 HIO8:HIO23 HSK8:HSK23 ICG8:ICG23 IMC8:IMC23 IVY8:IVY23 JFU8:JFU23 JPQ8:JPQ23 JZM8:JZM23 KJI8:KJI23 KTE8:KTE23 LDA8:LDA23 LMW8:LMW23 LWS8:LWS23 MGO8:MGO23 MQK8:MQK23 NAG8:NAG23 NKC8:NKC23 NTY8:NTY23 ODU8:ODU23 ONQ8:ONQ23 OXM8:OXM23 PHI8:PHI23 PRE8:PRE23 QBA8:QBA23 QKW8:QKW23 QUS8:QUS23 REO8:REO23 ROK8:ROK23 RYG8:RYG23 SIC8:SIC23 SRY8:SRY23 TBU8:TBU23 TLQ8:TLQ23 TVM8:TVM23 UFI8:UFI23 UPE8:UPE23 UZA8:UZA23 VIW8:VIW23 VSS8:VSS23 WCO8:WCO23 WMK8:WMK23 WWG8:WWG23 Y65540:Y65555 JU65540:JU65555 TQ65540:TQ65555 ADM65540:ADM65555 ANI65540:ANI65555 AXE65540:AXE65555 BHA65540:BHA65555 BQW65540:BQW65555 CAS65540:CAS65555 CKO65540:CKO65555 CUK65540:CUK65555 DEG65540:DEG65555 DOC65540:DOC65555 DXY65540:DXY65555 EHU65540:EHU65555 ERQ65540:ERQ65555 FBM65540:FBM65555 FLI65540:FLI65555 FVE65540:FVE65555 GFA65540:GFA65555 GOW65540:GOW65555 GYS65540:GYS65555 HIO65540:HIO65555 HSK65540:HSK65555 ICG65540:ICG65555 IMC65540:IMC65555 IVY65540:IVY65555 JFU65540:JFU65555 JPQ65540:JPQ65555 JZM65540:JZM65555 KJI65540:KJI65555 KTE65540:KTE65555 LDA65540:LDA65555 LMW65540:LMW65555 LWS65540:LWS65555 MGO65540:MGO65555 MQK65540:MQK65555 NAG65540:NAG65555 NKC65540:NKC65555 NTY65540:NTY65555 ODU65540:ODU65555 ONQ65540:ONQ65555 OXM65540:OXM65555 PHI65540:PHI65555 PRE65540:PRE65555 QBA65540:QBA65555 QKW65540:QKW65555 QUS65540:QUS65555 REO65540:REO65555 ROK65540:ROK65555 RYG65540:RYG65555 SIC65540:SIC65555 SRY65540:SRY65555 TBU65540:TBU65555 TLQ65540:TLQ65555 TVM65540:TVM65555 UFI65540:UFI65555 UPE65540:UPE65555 UZA65540:UZA65555 VIW65540:VIW65555 VSS65540:VSS65555 WCO65540:WCO65555 WMK65540:WMK65555 WWG65540:WWG65555 Y131076:Y131091 JU131076:JU131091 TQ131076:TQ131091 ADM131076:ADM131091 ANI131076:ANI131091 AXE131076:AXE131091 BHA131076:BHA131091 BQW131076:BQW131091 CAS131076:CAS131091 CKO131076:CKO131091 CUK131076:CUK131091 DEG131076:DEG131091 DOC131076:DOC131091 DXY131076:DXY131091 EHU131076:EHU131091 ERQ131076:ERQ131091 FBM131076:FBM131091 FLI131076:FLI131091 FVE131076:FVE131091 GFA131076:GFA131091 GOW131076:GOW131091 GYS131076:GYS131091 HIO131076:HIO131091 HSK131076:HSK131091 ICG131076:ICG131091 IMC131076:IMC131091 IVY131076:IVY131091 JFU131076:JFU131091 JPQ131076:JPQ131091 JZM131076:JZM131091 KJI131076:KJI131091 KTE131076:KTE131091 LDA131076:LDA131091 LMW131076:LMW131091 LWS131076:LWS131091 MGO131076:MGO131091 MQK131076:MQK131091 NAG131076:NAG131091 NKC131076:NKC131091 NTY131076:NTY131091 ODU131076:ODU131091 ONQ131076:ONQ131091 OXM131076:OXM131091 PHI131076:PHI131091 PRE131076:PRE131091 QBA131076:QBA131091 QKW131076:QKW131091 QUS131076:QUS131091 REO131076:REO131091 ROK131076:ROK131091 RYG131076:RYG131091 SIC131076:SIC131091 SRY131076:SRY131091 TBU131076:TBU131091 TLQ131076:TLQ131091 TVM131076:TVM131091 UFI131076:UFI131091 UPE131076:UPE131091 UZA131076:UZA131091 VIW131076:VIW131091 VSS131076:VSS131091 WCO131076:WCO131091 WMK131076:WMK131091 WWG131076:WWG131091 Y196612:Y196627 JU196612:JU196627 TQ196612:TQ196627 ADM196612:ADM196627 ANI196612:ANI196627 AXE196612:AXE196627 BHA196612:BHA196627 BQW196612:BQW196627 CAS196612:CAS196627 CKO196612:CKO196627 CUK196612:CUK196627 DEG196612:DEG196627 DOC196612:DOC196627 DXY196612:DXY196627 EHU196612:EHU196627 ERQ196612:ERQ196627 FBM196612:FBM196627 FLI196612:FLI196627 FVE196612:FVE196627 GFA196612:GFA196627 GOW196612:GOW196627 GYS196612:GYS196627 HIO196612:HIO196627 HSK196612:HSK196627 ICG196612:ICG196627 IMC196612:IMC196627 IVY196612:IVY196627 JFU196612:JFU196627 JPQ196612:JPQ196627 JZM196612:JZM196627 KJI196612:KJI196627 KTE196612:KTE196627 LDA196612:LDA196627 LMW196612:LMW196627 LWS196612:LWS196627 MGO196612:MGO196627 MQK196612:MQK196627 NAG196612:NAG196627 NKC196612:NKC196627 NTY196612:NTY196627 ODU196612:ODU196627 ONQ196612:ONQ196627 OXM196612:OXM196627 PHI196612:PHI196627 PRE196612:PRE196627 QBA196612:QBA196627 QKW196612:QKW196627 QUS196612:QUS196627 REO196612:REO196627 ROK196612:ROK196627 RYG196612:RYG196627 SIC196612:SIC196627 SRY196612:SRY196627 TBU196612:TBU196627 TLQ196612:TLQ196627 TVM196612:TVM196627 UFI196612:UFI196627 UPE196612:UPE196627 UZA196612:UZA196627 VIW196612:VIW196627 VSS196612:VSS196627 WCO196612:WCO196627 WMK196612:WMK196627 WWG196612:WWG196627 Y262148:Y262163 JU262148:JU262163 TQ262148:TQ262163 ADM262148:ADM262163 ANI262148:ANI262163 AXE262148:AXE262163 BHA262148:BHA262163 BQW262148:BQW262163 CAS262148:CAS262163 CKO262148:CKO262163 CUK262148:CUK262163 DEG262148:DEG262163 DOC262148:DOC262163 DXY262148:DXY262163 EHU262148:EHU262163 ERQ262148:ERQ262163 FBM262148:FBM262163 FLI262148:FLI262163 FVE262148:FVE262163 GFA262148:GFA262163 GOW262148:GOW262163 GYS262148:GYS262163 HIO262148:HIO262163 HSK262148:HSK262163 ICG262148:ICG262163 IMC262148:IMC262163 IVY262148:IVY262163 JFU262148:JFU262163 JPQ262148:JPQ262163 JZM262148:JZM262163 KJI262148:KJI262163 KTE262148:KTE262163 LDA262148:LDA262163 LMW262148:LMW262163 LWS262148:LWS262163 MGO262148:MGO262163 MQK262148:MQK262163 NAG262148:NAG262163 NKC262148:NKC262163 NTY262148:NTY262163 ODU262148:ODU262163 ONQ262148:ONQ262163 OXM262148:OXM262163 PHI262148:PHI262163 PRE262148:PRE262163 QBA262148:QBA262163 QKW262148:QKW262163 QUS262148:QUS262163 REO262148:REO262163 ROK262148:ROK262163 RYG262148:RYG262163 SIC262148:SIC262163 SRY262148:SRY262163 TBU262148:TBU262163 TLQ262148:TLQ262163 TVM262148:TVM262163 UFI262148:UFI262163 UPE262148:UPE262163 UZA262148:UZA262163 VIW262148:VIW262163 VSS262148:VSS262163 WCO262148:WCO262163 WMK262148:WMK262163 WWG262148:WWG262163 Y327684:Y327699 JU327684:JU327699 TQ327684:TQ327699 ADM327684:ADM327699 ANI327684:ANI327699 AXE327684:AXE327699 BHA327684:BHA327699 BQW327684:BQW327699 CAS327684:CAS327699 CKO327684:CKO327699 CUK327684:CUK327699 DEG327684:DEG327699 DOC327684:DOC327699 DXY327684:DXY327699 EHU327684:EHU327699 ERQ327684:ERQ327699 FBM327684:FBM327699 FLI327684:FLI327699 FVE327684:FVE327699 GFA327684:GFA327699 GOW327684:GOW327699 GYS327684:GYS327699 HIO327684:HIO327699 HSK327684:HSK327699 ICG327684:ICG327699 IMC327684:IMC327699 IVY327684:IVY327699 JFU327684:JFU327699 JPQ327684:JPQ327699 JZM327684:JZM327699 KJI327684:KJI327699 KTE327684:KTE327699 LDA327684:LDA327699 LMW327684:LMW327699 LWS327684:LWS327699 MGO327684:MGO327699 MQK327684:MQK327699 NAG327684:NAG327699 NKC327684:NKC327699 NTY327684:NTY327699 ODU327684:ODU327699 ONQ327684:ONQ327699 OXM327684:OXM327699 PHI327684:PHI327699 PRE327684:PRE327699 QBA327684:QBA327699 QKW327684:QKW327699 QUS327684:QUS327699 REO327684:REO327699 ROK327684:ROK327699 RYG327684:RYG327699 SIC327684:SIC327699 SRY327684:SRY327699 TBU327684:TBU327699 TLQ327684:TLQ327699 TVM327684:TVM327699 UFI327684:UFI327699 UPE327684:UPE327699 UZA327684:UZA327699 VIW327684:VIW327699 VSS327684:VSS327699 WCO327684:WCO327699 WMK327684:WMK327699 WWG327684:WWG327699 Y393220:Y393235 JU393220:JU393235 TQ393220:TQ393235 ADM393220:ADM393235 ANI393220:ANI393235 AXE393220:AXE393235 BHA393220:BHA393235 BQW393220:BQW393235 CAS393220:CAS393235 CKO393220:CKO393235 CUK393220:CUK393235 DEG393220:DEG393235 DOC393220:DOC393235 DXY393220:DXY393235 EHU393220:EHU393235 ERQ393220:ERQ393235 FBM393220:FBM393235 FLI393220:FLI393235 FVE393220:FVE393235 GFA393220:GFA393235 GOW393220:GOW393235 GYS393220:GYS393235 HIO393220:HIO393235 HSK393220:HSK393235 ICG393220:ICG393235 IMC393220:IMC393235 IVY393220:IVY393235 JFU393220:JFU393235 JPQ393220:JPQ393235 JZM393220:JZM393235 KJI393220:KJI393235 KTE393220:KTE393235 LDA393220:LDA393235 LMW393220:LMW393235 LWS393220:LWS393235 MGO393220:MGO393235 MQK393220:MQK393235 NAG393220:NAG393235 NKC393220:NKC393235 NTY393220:NTY393235 ODU393220:ODU393235 ONQ393220:ONQ393235 OXM393220:OXM393235 PHI393220:PHI393235 PRE393220:PRE393235 QBA393220:QBA393235 QKW393220:QKW393235 QUS393220:QUS393235 REO393220:REO393235 ROK393220:ROK393235 RYG393220:RYG393235 SIC393220:SIC393235 SRY393220:SRY393235 TBU393220:TBU393235 TLQ393220:TLQ393235 TVM393220:TVM393235 UFI393220:UFI393235 UPE393220:UPE393235 UZA393220:UZA393235 VIW393220:VIW393235 VSS393220:VSS393235 WCO393220:WCO393235 WMK393220:WMK393235 WWG393220:WWG393235 Y458756:Y458771 JU458756:JU458771 TQ458756:TQ458771 ADM458756:ADM458771 ANI458756:ANI458771 AXE458756:AXE458771 BHA458756:BHA458771 BQW458756:BQW458771 CAS458756:CAS458771 CKO458756:CKO458771 CUK458756:CUK458771 DEG458756:DEG458771 DOC458756:DOC458771 DXY458756:DXY458771 EHU458756:EHU458771 ERQ458756:ERQ458771 FBM458756:FBM458771 FLI458756:FLI458771 FVE458756:FVE458771 GFA458756:GFA458771 GOW458756:GOW458771 GYS458756:GYS458771 HIO458756:HIO458771 HSK458756:HSK458771 ICG458756:ICG458771 IMC458756:IMC458771 IVY458756:IVY458771 JFU458756:JFU458771 JPQ458756:JPQ458771 JZM458756:JZM458771 KJI458756:KJI458771 KTE458756:KTE458771 LDA458756:LDA458771 LMW458756:LMW458771 LWS458756:LWS458771 MGO458756:MGO458771 MQK458756:MQK458771 NAG458756:NAG458771 NKC458756:NKC458771 NTY458756:NTY458771 ODU458756:ODU458771 ONQ458756:ONQ458771 OXM458756:OXM458771 PHI458756:PHI458771 PRE458756:PRE458771 QBA458756:QBA458771 QKW458756:QKW458771 QUS458756:QUS458771 REO458756:REO458771 ROK458756:ROK458771 RYG458756:RYG458771 SIC458756:SIC458771 SRY458756:SRY458771 TBU458756:TBU458771 TLQ458756:TLQ458771 TVM458756:TVM458771 UFI458756:UFI458771 UPE458756:UPE458771 UZA458756:UZA458771 VIW458756:VIW458771 VSS458756:VSS458771 WCO458756:WCO458771 WMK458756:WMK458771 WWG458756:WWG458771 Y524292:Y524307 JU524292:JU524307 TQ524292:TQ524307 ADM524292:ADM524307 ANI524292:ANI524307 AXE524292:AXE524307 BHA524292:BHA524307 BQW524292:BQW524307 CAS524292:CAS524307 CKO524292:CKO524307 CUK524292:CUK524307 DEG524292:DEG524307 DOC524292:DOC524307 DXY524292:DXY524307 EHU524292:EHU524307 ERQ524292:ERQ524307 FBM524292:FBM524307 FLI524292:FLI524307 FVE524292:FVE524307 GFA524292:GFA524307 GOW524292:GOW524307 GYS524292:GYS524307 HIO524292:HIO524307 HSK524292:HSK524307 ICG524292:ICG524307 IMC524292:IMC524307 IVY524292:IVY524307 JFU524292:JFU524307 JPQ524292:JPQ524307 JZM524292:JZM524307 KJI524292:KJI524307 KTE524292:KTE524307 LDA524292:LDA524307 LMW524292:LMW524307 LWS524292:LWS524307 MGO524292:MGO524307 MQK524292:MQK524307 NAG524292:NAG524307 NKC524292:NKC524307 NTY524292:NTY524307 ODU524292:ODU524307 ONQ524292:ONQ524307 OXM524292:OXM524307 PHI524292:PHI524307 PRE524292:PRE524307 QBA524292:QBA524307 QKW524292:QKW524307 QUS524292:QUS524307 REO524292:REO524307 ROK524292:ROK524307 RYG524292:RYG524307 SIC524292:SIC524307 SRY524292:SRY524307 TBU524292:TBU524307 TLQ524292:TLQ524307 TVM524292:TVM524307 UFI524292:UFI524307 UPE524292:UPE524307 UZA524292:UZA524307 VIW524292:VIW524307 VSS524292:VSS524307 WCO524292:WCO524307 WMK524292:WMK524307 WWG524292:WWG524307 Y589828:Y589843 JU589828:JU589843 TQ589828:TQ589843 ADM589828:ADM589843 ANI589828:ANI589843 AXE589828:AXE589843 BHA589828:BHA589843 BQW589828:BQW589843 CAS589828:CAS589843 CKO589828:CKO589843 CUK589828:CUK589843 DEG589828:DEG589843 DOC589828:DOC589843 DXY589828:DXY589843 EHU589828:EHU589843 ERQ589828:ERQ589843 FBM589828:FBM589843 FLI589828:FLI589843 FVE589828:FVE589843 GFA589828:GFA589843 GOW589828:GOW589843 GYS589828:GYS589843 HIO589828:HIO589843 HSK589828:HSK589843 ICG589828:ICG589843 IMC589828:IMC589843 IVY589828:IVY589843 JFU589828:JFU589843 JPQ589828:JPQ589843 JZM589828:JZM589843 KJI589828:KJI589843 KTE589828:KTE589843 LDA589828:LDA589843 LMW589828:LMW589843 LWS589828:LWS589843 MGO589828:MGO589843 MQK589828:MQK589843 NAG589828:NAG589843 NKC589828:NKC589843 NTY589828:NTY589843 ODU589828:ODU589843 ONQ589828:ONQ589843 OXM589828:OXM589843 PHI589828:PHI589843 PRE589828:PRE589843 QBA589828:QBA589843 QKW589828:QKW589843 QUS589828:QUS589843 REO589828:REO589843 ROK589828:ROK589843 RYG589828:RYG589843 SIC589828:SIC589843 SRY589828:SRY589843 TBU589828:TBU589843 TLQ589828:TLQ589843 TVM589828:TVM589843 UFI589828:UFI589843 UPE589828:UPE589843 UZA589828:UZA589843 VIW589828:VIW589843 VSS589828:VSS589843 WCO589828:WCO589843 WMK589828:WMK589843 WWG589828:WWG589843 Y655364:Y655379 JU655364:JU655379 TQ655364:TQ655379 ADM655364:ADM655379 ANI655364:ANI655379 AXE655364:AXE655379 BHA655364:BHA655379 BQW655364:BQW655379 CAS655364:CAS655379 CKO655364:CKO655379 CUK655364:CUK655379 DEG655364:DEG655379 DOC655364:DOC655379 DXY655364:DXY655379 EHU655364:EHU655379 ERQ655364:ERQ655379 FBM655364:FBM655379 FLI655364:FLI655379 FVE655364:FVE655379 GFA655364:GFA655379 GOW655364:GOW655379 GYS655364:GYS655379 HIO655364:HIO655379 HSK655364:HSK655379 ICG655364:ICG655379 IMC655364:IMC655379 IVY655364:IVY655379 JFU655364:JFU655379 JPQ655364:JPQ655379 JZM655364:JZM655379 KJI655364:KJI655379 KTE655364:KTE655379 LDA655364:LDA655379 LMW655364:LMW655379 LWS655364:LWS655379 MGO655364:MGO655379 MQK655364:MQK655379 NAG655364:NAG655379 NKC655364:NKC655379 NTY655364:NTY655379 ODU655364:ODU655379 ONQ655364:ONQ655379 OXM655364:OXM655379 PHI655364:PHI655379 PRE655364:PRE655379 QBA655364:QBA655379 QKW655364:QKW655379 QUS655364:QUS655379 REO655364:REO655379 ROK655364:ROK655379 RYG655364:RYG655379 SIC655364:SIC655379 SRY655364:SRY655379 TBU655364:TBU655379 TLQ655364:TLQ655379 TVM655364:TVM655379 UFI655364:UFI655379 UPE655364:UPE655379 UZA655364:UZA655379 VIW655364:VIW655379 VSS655364:VSS655379 WCO655364:WCO655379 WMK655364:WMK655379 WWG655364:WWG655379 Y720900:Y720915 JU720900:JU720915 TQ720900:TQ720915 ADM720900:ADM720915 ANI720900:ANI720915 AXE720900:AXE720915 BHA720900:BHA720915 BQW720900:BQW720915 CAS720900:CAS720915 CKO720900:CKO720915 CUK720900:CUK720915 DEG720900:DEG720915 DOC720900:DOC720915 DXY720900:DXY720915 EHU720900:EHU720915 ERQ720900:ERQ720915 FBM720900:FBM720915 FLI720900:FLI720915 FVE720900:FVE720915 GFA720900:GFA720915 GOW720900:GOW720915 GYS720900:GYS720915 HIO720900:HIO720915 HSK720900:HSK720915 ICG720900:ICG720915 IMC720900:IMC720915 IVY720900:IVY720915 JFU720900:JFU720915 JPQ720900:JPQ720915 JZM720900:JZM720915 KJI720900:KJI720915 KTE720900:KTE720915 LDA720900:LDA720915 LMW720900:LMW720915 LWS720900:LWS720915 MGO720900:MGO720915 MQK720900:MQK720915 NAG720900:NAG720915 NKC720900:NKC720915 NTY720900:NTY720915 ODU720900:ODU720915 ONQ720900:ONQ720915 OXM720900:OXM720915 PHI720900:PHI720915 PRE720900:PRE720915 QBA720900:QBA720915 QKW720900:QKW720915 QUS720900:QUS720915 REO720900:REO720915 ROK720900:ROK720915 RYG720900:RYG720915 SIC720900:SIC720915 SRY720900:SRY720915 TBU720900:TBU720915 TLQ720900:TLQ720915 TVM720900:TVM720915 UFI720900:UFI720915 UPE720900:UPE720915 UZA720900:UZA720915 VIW720900:VIW720915 VSS720900:VSS720915 WCO720900:WCO720915 WMK720900:WMK720915 WWG720900:WWG720915 Y786436:Y786451 JU786436:JU786451 TQ786436:TQ786451 ADM786436:ADM786451 ANI786436:ANI786451 AXE786436:AXE786451 BHA786436:BHA786451 BQW786436:BQW786451 CAS786436:CAS786451 CKO786436:CKO786451 CUK786436:CUK786451 DEG786436:DEG786451 DOC786436:DOC786451 DXY786436:DXY786451 EHU786436:EHU786451 ERQ786436:ERQ786451 FBM786436:FBM786451 FLI786436:FLI786451 FVE786436:FVE786451 GFA786436:GFA786451 GOW786436:GOW786451 GYS786436:GYS786451 HIO786436:HIO786451 HSK786436:HSK786451 ICG786436:ICG786451 IMC786436:IMC786451 IVY786436:IVY786451 JFU786436:JFU786451 JPQ786436:JPQ786451 JZM786436:JZM786451 KJI786436:KJI786451 KTE786436:KTE786451 LDA786436:LDA786451 LMW786436:LMW786451 LWS786436:LWS786451 MGO786436:MGO786451 MQK786436:MQK786451 NAG786436:NAG786451 NKC786436:NKC786451 NTY786436:NTY786451 ODU786436:ODU786451 ONQ786436:ONQ786451 OXM786436:OXM786451 PHI786436:PHI786451 PRE786436:PRE786451 QBA786436:QBA786451 QKW786436:QKW786451 QUS786436:QUS786451 REO786436:REO786451 ROK786436:ROK786451 RYG786436:RYG786451 SIC786436:SIC786451 SRY786436:SRY786451 TBU786436:TBU786451 TLQ786436:TLQ786451 TVM786436:TVM786451 UFI786436:UFI786451 UPE786436:UPE786451 UZA786436:UZA786451 VIW786436:VIW786451 VSS786436:VSS786451 WCO786436:WCO786451 WMK786436:WMK786451 WWG786436:WWG786451 Y851972:Y851987 JU851972:JU851987 TQ851972:TQ851987 ADM851972:ADM851987 ANI851972:ANI851987 AXE851972:AXE851987 BHA851972:BHA851987 BQW851972:BQW851987 CAS851972:CAS851987 CKO851972:CKO851987 CUK851972:CUK851987 DEG851972:DEG851987 DOC851972:DOC851987 DXY851972:DXY851987 EHU851972:EHU851987 ERQ851972:ERQ851987 FBM851972:FBM851987 FLI851972:FLI851987 FVE851972:FVE851987 GFA851972:GFA851987 GOW851972:GOW851987 GYS851972:GYS851987 HIO851972:HIO851987 HSK851972:HSK851987 ICG851972:ICG851987 IMC851972:IMC851987 IVY851972:IVY851987 JFU851972:JFU851987 JPQ851972:JPQ851987 JZM851972:JZM851987 KJI851972:KJI851987 KTE851972:KTE851987 LDA851972:LDA851987 LMW851972:LMW851987 LWS851972:LWS851987 MGO851972:MGO851987 MQK851972:MQK851987 NAG851972:NAG851987 NKC851972:NKC851987 NTY851972:NTY851987 ODU851972:ODU851987 ONQ851972:ONQ851987 OXM851972:OXM851987 PHI851972:PHI851987 PRE851972:PRE851987 QBA851972:QBA851987 QKW851972:QKW851987 QUS851972:QUS851987 REO851972:REO851987 ROK851972:ROK851987 RYG851972:RYG851987 SIC851972:SIC851987 SRY851972:SRY851987 TBU851972:TBU851987 TLQ851972:TLQ851987 TVM851972:TVM851987 UFI851972:UFI851987 UPE851972:UPE851987 UZA851972:UZA851987 VIW851972:VIW851987 VSS851972:VSS851987 WCO851972:WCO851987 WMK851972:WMK851987 WWG851972:WWG851987 Y917508:Y917523 JU917508:JU917523 TQ917508:TQ917523 ADM917508:ADM917523 ANI917508:ANI917523 AXE917508:AXE917523 BHA917508:BHA917523 BQW917508:BQW917523 CAS917508:CAS917523 CKO917508:CKO917523 CUK917508:CUK917523 DEG917508:DEG917523 DOC917508:DOC917523 DXY917508:DXY917523 EHU917508:EHU917523 ERQ917508:ERQ917523 FBM917508:FBM917523 FLI917508:FLI917523 FVE917508:FVE917523 GFA917508:GFA917523 GOW917508:GOW917523 GYS917508:GYS917523 HIO917508:HIO917523 HSK917508:HSK917523 ICG917508:ICG917523 IMC917508:IMC917523 IVY917508:IVY917523 JFU917508:JFU917523 JPQ917508:JPQ917523 JZM917508:JZM917523 KJI917508:KJI917523 KTE917508:KTE917523 LDA917508:LDA917523 LMW917508:LMW917523 LWS917508:LWS917523 MGO917508:MGO917523 MQK917508:MQK917523 NAG917508:NAG917523 NKC917508:NKC917523 NTY917508:NTY917523 ODU917508:ODU917523 ONQ917508:ONQ917523 OXM917508:OXM917523 PHI917508:PHI917523 PRE917508:PRE917523 QBA917508:QBA917523 QKW917508:QKW917523 QUS917508:QUS917523 REO917508:REO917523 ROK917508:ROK917523 RYG917508:RYG917523 SIC917508:SIC917523 SRY917508:SRY917523 TBU917508:TBU917523 TLQ917508:TLQ917523 TVM917508:TVM917523 UFI917508:UFI917523 UPE917508:UPE917523 UZA917508:UZA917523 VIW917508:VIW917523 VSS917508:VSS917523 WCO917508:WCO917523 WMK917508:WMK917523 WWG917508:WWG917523 Y983044:Y983059 JU983044:JU983059 TQ983044:TQ983059 ADM983044:ADM983059 ANI983044:ANI983059 AXE983044:AXE983059 BHA983044:BHA983059 BQW983044:BQW983059 CAS983044:CAS983059 CKO983044:CKO983059 CUK983044:CUK983059 DEG983044:DEG983059 DOC983044:DOC983059 DXY983044:DXY983059 EHU983044:EHU983059 ERQ983044:ERQ983059 FBM983044:FBM983059 FLI983044:FLI983059 FVE983044:FVE983059 GFA983044:GFA983059 GOW983044:GOW983059 GYS983044:GYS983059 HIO983044:HIO983059 HSK983044:HSK983059 ICG983044:ICG983059 IMC983044:IMC983059 IVY983044:IVY983059 JFU983044:JFU983059 JPQ983044:JPQ983059 JZM983044:JZM983059 KJI983044:KJI983059 KTE983044:KTE983059 LDA983044:LDA983059 LMW983044:LMW983059 LWS983044:LWS983059 MGO983044:MGO983059 MQK983044:MQK983059 NAG983044:NAG983059 NKC983044:NKC983059 NTY983044:NTY983059 ODU983044:ODU983059 ONQ983044:ONQ983059 OXM983044:OXM983059 PHI983044:PHI983059 PRE983044:PRE983059 QBA983044:QBA983059 QKW983044:QKW983059 QUS983044:QUS983059 REO983044:REO983059 ROK983044:ROK983059 RYG983044:RYG983059 SIC983044:SIC983059 SRY983044:SRY983059 TBU983044:TBU983059 TLQ983044:TLQ983059 TVM983044:TVM983059 UFI983044:UFI983059 UPE983044:UPE983059">
      <formula1>0</formula1>
      <formula2>9.99999999999999E+25</formula2>
    </dataValidation>
    <dataValidation type="list" allowBlank="1" showInputMessage="1" showErrorMessage="1" sqref="WCF983041 JT5:JV5 TP5:TR5 ADL5:ADN5 ANH5:ANJ5 AXD5:AXF5 BGZ5:BHB5 BQV5:BQX5 CAR5:CAT5 CKN5:CKP5 CUJ5:CUL5 DEF5:DEH5 DOB5:DOD5 DXX5:DXZ5 EHT5:EHV5 ERP5:ERR5 FBL5:FBN5 FLH5:FLJ5 FVD5:FVF5 GEZ5:GFB5 GOV5:GOX5 GYR5:GYT5 HIN5:HIP5 HSJ5:HSL5 ICF5:ICH5 IMB5:IMD5 IVX5:IVZ5 JFT5:JFV5 JPP5:JPR5 JZL5:JZN5 KJH5:KJJ5 KTD5:KTF5 LCZ5:LDB5 LMV5:LMX5 LWR5:LWT5 MGN5:MGP5 MQJ5:MQL5 NAF5:NAH5 NKB5:NKD5 NTX5:NTZ5 ODT5:ODV5 ONP5:ONR5 OXL5:OXN5 PHH5:PHJ5 PRD5:PRF5 QAZ5:QBB5 QKV5:QKX5 QUR5:QUT5 REN5:REP5 ROJ5:ROL5 RYF5:RYH5 SIB5:SID5 SRX5:SRZ5 TBT5:TBV5 TLP5:TLR5 TVL5:TVN5 UFH5:UFJ5 UPD5:UPF5 UYZ5:UZB5 VIV5:VIX5 VSR5:VST5 WCN5:WCP5 WMJ5:WML5 WWF5:WWH5 T65537:Z65537 JT65537:JV65537 TP65537:TR65537 ADL65537:ADN65537 ANH65537:ANJ65537 AXD65537:AXF65537 BGZ65537:BHB65537 BQV65537:BQX65537 CAR65537:CAT65537 CKN65537:CKP65537 CUJ65537:CUL65537 DEF65537:DEH65537 DOB65537:DOD65537 DXX65537:DXZ65537 EHT65537:EHV65537 ERP65537:ERR65537 FBL65537:FBN65537 FLH65537:FLJ65537 FVD65537:FVF65537 GEZ65537:GFB65537 GOV65537:GOX65537 GYR65537:GYT65537 HIN65537:HIP65537 HSJ65537:HSL65537 ICF65537:ICH65537 IMB65537:IMD65537 IVX65537:IVZ65537 JFT65537:JFV65537 JPP65537:JPR65537 JZL65537:JZN65537 KJH65537:KJJ65537 KTD65537:KTF65537 LCZ65537:LDB65537 LMV65537:LMX65537 LWR65537:LWT65537 MGN65537:MGP65537 MQJ65537:MQL65537 NAF65537:NAH65537 NKB65537:NKD65537 NTX65537:NTZ65537 ODT65537:ODV65537 ONP65537:ONR65537 OXL65537:OXN65537 PHH65537:PHJ65537 PRD65537:PRF65537 QAZ65537:QBB65537 QKV65537:QKX65537 QUR65537:QUT65537 REN65537:REP65537 ROJ65537:ROL65537 RYF65537:RYH65537 SIB65537:SID65537 SRX65537:SRZ65537 TBT65537:TBV65537 TLP65537:TLR65537 TVL65537:TVN65537 UFH65537:UFJ65537 UPD65537:UPF65537 UYZ65537:UZB65537 VIV65537:VIX65537 VSR65537:VST65537 WCN65537:WCP65537 WMJ65537:WML65537 WWF65537:WWH65537 T131073:Z131073 JT131073:JV131073 TP131073:TR131073 ADL131073:ADN131073 ANH131073:ANJ131073 AXD131073:AXF131073 BGZ131073:BHB131073 BQV131073:BQX131073 CAR131073:CAT131073 CKN131073:CKP131073 CUJ131073:CUL131073 DEF131073:DEH131073 DOB131073:DOD131073 DXX131073:DXZ131073 EHT131073:EHV131073 ERP131073:ERR131073 FBL131073:FBN131073 FLH131073:FLJ131073 FVD131073:FVF131073 GEZ131073:GFB131073 GOV131073:GOX131073 GYR131073:GYT131073 HIN131073:HIP131073 HSJ131073:HSL131073 ICF131073:ICH131073 IMB131073:IMD131073 IVX131073:IVZ131073 JFT131073:JFV131073 JPP131073:JPR131073 JZL131073:JZN131073 KJH131073:KJJ131073 KTD131073:KTF131073 LCZ131073:LDB131073 LMV131073:LMX131073 LWR131073:LWT131073 MGN131073:MGP131073 MQJ131073:MQL131073 NAF131073:NAH131073 NKB131073:NKD131073 NTX131073:NTZ131073 ODT131073:ODV131073 ONP131073:ONR131073 OXL131073:OXN131073 PHH131073:PHJ131073 PRD131073:PRF131073 QAZ131073:QBB131073 QKV131073:QKX131073 QUR131073:QUT131073 REN131073:REP131073 ROJ131073:ROL131073 RYF131073:RYH131073 SIB131073:SID131073 SRX131073:SRZ131073 TBT131073:TBV131073 TLP131073:TLR131073 TVL131073:TVN131073 UFH131073:UFJ131073 UPD131073:UPF131073 UYZ131073:UZB131073 VIV131073:VIX131073 VSR131073:VST131073 WCN131073:WCP131073 WMJ131073:WML131073 WWF131073:WWH131073 T196609:Z196609 JT196609:JV196609 TP196609:TR196609 ADL196609:ADN196609 ANH196609:ANJ196609 AXD196609:AXF196609 BGZ196609:BHB196609 BQV196609:BQX196609 CAR196609:CAT196609 CKN196609:CKP196609 CUJ196609:CUL196609 DEF196609:DEH196609 DOB196609:DOD196609 DXX196609:DXZ196609 EHT196609:EHV196609 ERP196609:ERR196609 FBL196609:FBN196609 FLH196609:FLJ196609 FVD196609:FVF196609 GEZ196609:GFB196609 GOV196609:GOX196609 GYR196609:GYT196609 HIN196609:HIP196609 HSJ196609:HSL196609 ICF196609:ICH196609 IMB196609:IMD196609 IVX196609:IVZ196609 JFT196609:JFV196609 JPP196609:JPR196609 JZL196609:JZN196609 KJH196609:KJJ196609 KTD196609:KTF196609 LCZ196609:LDB196609 LMV196609:LMX196609 LWR196609:LWT196609 MGN196609:MGP196609 MQJ196609:MQL196609 NAF196609:NAH196609 NKB196609:NKD196609 NTX196609:NTZ196609 ODT196609:ODV196609 ONP196609:ONR196609 OXL196609:OXN196609 PHH196609:PHJ196609 PRD196609:PRF196609 QAZ196609:QBB196609 QKV196609:QKX196609 QUR196609:QUT196609 REN196609:REP196609 ROJ196609:ROL196609 RYF196609:RYH196609 SIB196609:SID196609 SRX196609:SRZ196609 TBT196609:TBV196609 TLP196609:TLR196609 TVL196609:TVN196609 UFH196609:UFJ196609 UPD196609:UPF196609 UYZ196609:UZB196609 VIV196609:VIX196609 VSR196609:VST196609 WCN196609:WCP196609 WMJ196609:WML196609 WWF196609:WWH196609 T262145:Z262145 JT262145:JV262145 TP262145:TR262145 ADL262145:ADN262145 ANH262145:ANJ262145 AXD262145:AXF262145 BGZ262145:BHB262145 BQV262145:BQX262145 CAR262145:CAT262145 CKN262145:CKP262145 CUJ262145:CUL262145 DEF262145:DEH262145 DOB262145:DOD262145 DXX262145:DXZ262145 EHT262145:EHV262145 ERP262145:ERR262145 FBL262145:FBN262145 FLH262145:FLJ262145 FVD262145:FVF262145 GEZ262145:GFB262145 GOV262145:GOX262145 GYR262145:GYT262145 HIN262145:HIP262145 HSJ262145:HSL262145 ICF262145:ICH262145 IMB262145:IMD262145 IVX262145:IVZ262145 JFT262145:JFV262145 JPP262145:JPR262145 JZL262145:JZN262145 KJH262145:KJJ262145 KTD262145:KTF262145 LCZ262145:LDB262145 LMV262145:LMX262145 LWR262145:LWT262145 MGN262145:MGP262145 MQJ262145:MQL262145 NAF262145:NAH262145 NKB262145:NKD262145 NTX262145:NTZ262145 ODT262145:ODV262145 ONP262145:ONR262145 OXL262145:OXN262145 PHH262145:PHJ262145 PRD262145:PRF262145 QAZ262145:QBB262145 QKV262145:QKX262145 QUR262145:QUT262145 REN262145:REP262145 ROJ262145:ROL262145 RYF262145:RYH262145 SIB262145:SID262145 SRX262145:SRZ262145 TBT262145:TBV262145 TLP262145:TLR262145 TVL262145:TVN262145 UFH262145:UFJ262145 UPD262145:UPF262145 UYZ262145:UZB262145 VIV262145:VIX262145 VSR262145:VST262145 WCN262145:WCP262145 WMJ262145:WML262145 WWF262145:WWH262145 T327681:Z327681 JT327681:JV327681 TP327681:TR327681 ADL327681:ADN327681 ANH327681:ANJ327681 AXD327681:AXF327681 BGZ327681:BHB327681 BQV327681:BQX327681 CAR327681:CAT327681 CKN327681:CKP327681 CUJ327681:CUL327681 DEF327681:DEH327681 DOB327681:DOD327681 DXX327681:DXZ327681 EHT327681:EHV327681 ERP327681:ERR327681 FBL327681:FBN327681 FLH327681:FLJ327681 FVD327681:FVF327681 GEZ327681:GFB327681 GOV327681:GOX327681 GYR327681:GYT327681 HIN327681:HIP327681 HSJ327681:HSL327681 ICF327681:ICH327681 IMB327681:IMD327681 IVX327681:IVZ327681 JFT327681:JFV327681 JPP327681:JPR327681 JZL327681:JZN327681 KJH327681:KJJ327681 KTD327681:KTF327681 LCZ327681:LDB327681 LMV327681:LMX327681 LWR327681:LWT327681 MGN327681:MGP327681 MQJ327681:MQL327681 NAF327681:NAH327681 NKB327681:NKD327681 NTX327681:NTZ327681 ODT327681:ODV327681 ONP327681:ONR327681 OXL327681:OXN327681 PHH327681:PHJ327681 PRD327681:PRF327681 QAZ327681:QBB327681 QKV327681:QKX327681 QUR327681:QUT327681 REN327681:REP327681 ROJ327681:ROL327681 RYF327681:RYH327681 SIB327681:SID327681 SRX327681:SRZ327681 TBT327681:TBV327681 TLP327681:TLR327681 TVL327681:TVN327681 UFH327681:UFJ327681 UPD327681:UPF327681 UYZ327681:UZB327681 VIV327681:VIX327681 VSR327681:VST327681 WCN327681:WCP327681 WMJ327681:WML327681 WWF327681:WWH327681 T393217:Z393217 JT393217:JV393217 TP393217:TR393217 ADL393217:ADN393217 ANH393217:ANJ393217 AXD393217:AXF393217 BGZ393217:BHB393217 BQV393217:BQX393217 CAR393217:CAT393217 CKN393217:CKP393217 CUJ393217:CUL393217 DEF393217:DEH393217 DOB393217:DOD393217 DXX393217:DXZ393217 EHT393217:EHV393217 ERP393217:ERR393217 FBL393217:FBN393217 FLH393217:FLJ393217 FVD393217:FVF393217 GEZ393217:GFB393217 GOV393217:GOX393217 GYR393217:GYT393217 HIN393217:HIP393217 HSJ393217:HSL393217 ICF393217:ICH393217 IMB393217:IMD393217 IVX393217:IVZ393217 JFT393217:JFV393217 JPP393217:JPR393217 JZL393217:JZN393217 KJH393217:KJJ393217 KTD393217:KTF393217 LCZ393217:LDB393217 LMV393217:LMX393217 LWR393217:LWT393217 MGN393217:MGP393217 MQJ393217:MQL393217 NAF393217:NAH393217 NKB393217:NKD393217 NTX393217:NTZ393217 ODT393217:ODV393217 ONP393217:ONR393217 OXL393217:OXN393217 PHH393217:PHJ393217 PRD393217:PRF393217 QAZ393217:QBB393217 QKV393217:QKX393217 QUR393217:QUT393217 REN393217:REP393217 ROJ393217:ROL393217 RYF393217:RYH393217 SIB393217:SID393217 SRX393217:SRZ393217 TBT393217:TBV393217 TLP393217:TLR393217 TVL393217:TVN393217 UFH393217:UFJ393217 UPD393217:UPF393217 UYZ393217:UZB393217 VIV393217:VIX393217 VSR393217:VST393217 WCN393217:WCP393217 WMJ393217:WML393217 WWF393217:WWH393217 T458753:Z458753 JT458753:JV458753 TP458753:TR458753 ADL458753:ADN458753 ANH458753:ANJ458753 AXD458753:AXF458753 BGZ458753:BHB458753 BQV458753:BQX458753 CAR458753:CAT458753 CKN458753:CKP458753 CUJ458753:CUL458753 DEF458753:DEH458753 DOB458753:DOD458753 DXX458753:DXZ458753 EHT458753:EHV458753 ERP458753:ERR458753 FBL458753:FBN458753 FLH458753:FLJ458753 FVD458753:FVF458753 GEZ458753:GFB458753 GOV458753:GOX458753 GYR458753:GYT458753 HIN458753:HIP458753 HSJ458753:HSL458753 ICF458753:ICH458753 IMB458753:IMD458753 IVX458753:IVZ458753 JFT458753:JFV458753 JPP458753:JPR458753 JZL458753:JZN458753 KJH458753:KJJ458753 KTD458753:KTF458753 LCZ458753:LDB458753 LMV458753:LMX458753 LWR458753:LWT458753 MGN458753:MGP458753 MQJ458753:MQL458753 NAF458753:NAH458753 NKB458753:NKD458753 NTX458753:NTZ458753 ODT458753:ODV458753 ONP458753:ONR458753 OXL458753:OXN458753 PHH458753:PHJ458753 PRD458753:PRF458753 QAZ458753:QBB458753 QKV458753:QKX458753 QUR458753:QUT458753 REN458753:REP458753 ROJ458753:ROL458753 RYF458753:RYH458753 SIB458753:SID458753 SRX458753:SRZ458753 TBT458753:TBV458753 TLP458753:TLR458753 TVL458753:TVN458753 UFH458753:UFJ458753 UPD458753:UPF458753 UYZ458753:UZB458753 VIV458753:VIX458753 VSR458753:VST458753 WCN458753:WCP458753 WMJ458753:WML458753 WWF458753:WWH458753 T524289:Z524289 JT524289:JV524289 TP524289:TR524289 ADL524289:ADN524289 ANH524289:ANJ524289 AXD524289:AXF524289 BGZ524289:BHB524289 BQV524289:BQX524289 CAR524289:CAT524289 CKN524289:CKP524289 CUJ524289:CUL524289 DEF524289:DEH524289 DOB524289:DOD524289 DXX524289:DXZ524289 EHT524289:EHV524289 ERP524289:ERR524289 FBL524289:FBN524289 FLH524289:FLJ524289 FVD524289:FVF524289 GEZ524289:GFB524289 GOV524289:GOX524289 GYR524289:GYT524289 HIN524289:HIP524289 HSJ524289:HSL524289 ICF524289:ICH524289 IMB524289:IMD524289 IVX524289:IVZ524289 JFT524289:JFV524289 JPP524289:JPR524289 JZL524289:JZN524289 KJH524289:KJJ524289 KTD524289:KTF524289 LCZ524289:LDB524289 LMV524289:LMX524289 LWR524289:LWT524289 MGN524289:MGP524289 MQJ524289:MQL524289 NAF524289:NAH524289 NKB524289:NKD524289 NTX524289:NTZ524289 ODT524289:ODV524289 ONP524289:ONR524289 OXL524289:OXN524289 PHH524289:PHJ524289 PRD524289:PRF524289 QAZ524289:QBB524289 QKV524289:QKX524289 QUR524289:QUT524289 REN524289:REP524289 ROJ524289:ROL524289 RYF524289:RYH524289 SIB524289:SID524289 SRX524289:SRZ524289 TBT524289:TBV524289 TLP524289:TLR524289 TVL524289:TVN524289 UFH524289:UFJ524289 UPD524289:UPF524289 UYZ524289:UZB524289 VIV524289:VIX524289 VSR524289:VST524289 WCN524289:WCP524289 WMJ524289:WML524289 WWF524289:WWH524289 T589825:Z589825 JT589825:JV589825 TP589825:TR589825 ADL589825:ADN589825 ANH589825:ANJ589825 AXD589825:AXF589825 BGZ589825:BHB589825 BQV589825:BQX589825 CAR589825:CAT589825 CKN589825:CKP589825 CUJ589825:CUL589825 DEF589825:DEH589825 DOB589825:DOD589825 DXX589825:DXZ589825 EHT589825:EHV589825 ERP589825:ERR589825 FBL589825:FBN589825 FLH589825:FLJ589825 FVD589825:FVF589825 GEZ589825:GFB589825 GOV589825:GOX589825 GYR589825:GYT589825 HIN589825:HIP589825 HSJ589825:HSL589825 ICF589825:ICH589825 IMB589825:IMD589825 IVX589825:IVZ589825 JFT589825:JFV589825 JPP589825:JPR589825 JZL589825:JZN589825 KJH589825:KJJ589825 KTD589825:KTF589825 LCZ589825:LDB589825 LMV589825:LMX589825 LWR589825:LWT589825 MGN589825:MGP589825 MQJ589825:MQL589825 NAF589825:NAH589825 NKB589825:NKD589825 NTX589825:NTZ589825 ODT589825:ODV589825 ONP589825:ONR589825 OXL589825:OXN589825 PHH589825:PHJ589825 PRD589825:PRF589825 QAZ589825:QBB589825 QKV589825:QKX589825 QUR589825:QUT589825 REN589825:REP589825 ROJ589825:ROL589825 RYF589825:RYH589825 SIB589825:SID589825 SRX589825:SRZ589825 TBT589825:TBV589825 TLP589825:TLR589825 TVL589825:TVN589825 UFH589825:UFJ589825 UPD589825:UPF589825 UYZ589825:UZB589825 VIV589825:VIX589825 VSR589825:VST589825 WCN589825:WCP589825 WMJ589825:WML589825 WWF589825:WWH589825 T655361:Z655361 JT655361:JV655361 TP655361:TR655361 ADL655361:ADN655361 ANH655361:ANJ655361 AXD655361:AXF655361 BGZ655361:BHB655361 BQV655361:BQX655361 CAR655361:CAT655361 CKN655361:CKP655361 CUJ655361:CUL655361 DEF655361:DEH655361 DOB655361:DOD655361 DXX655361:DXZ655361 EHT655361:EHV655361 ERP655361:ERR655361 FBL655361:FBN655361 FLH655361:FLJ655361 FVD655361:FVF655361 GEZ655361:GFB655361 GOV655361:GOX655361 GYR655361:GYT655361 HIN655361:HIP655361 HSJ655361:HSL655361 ICF655361:ICH655361 IMB655361:IMD655361 IVX655361:IVZ655361 JFT655361:JFV655361 JPP655361:JPR655361 JZL655361:JZN655361 KJH655361:KJJ655361 KTD655361:KTF655361 LCZ655361:LDB655361 LMV655361:LMX655361 LWR655361:LWT655361 MGN655361:MGP655361 MQJ655361:MQL655361 NAF655361:NAH655361 NKB655361:NKD655361 NTX655361:NTZ655361 ODT655361:ODV655361 ONP655361:ONR655361 OXL655361:OXN655361 PHH655361:PHJ655361 PRD655361:PRF655361 QAZ655361:QBB655361 QKV655361:QKX655361 QUR655361:QUT655361 REN655361:REP655361 ROJ655361:ROL655361 RYF655361:RYH655361 SIB655361:SID655361 SRX655361:SRZ655361 TBT655361:TBV655361 TLP655361:TLR655361 TVL655361:TVN655361 UFH655361:UFJ655361 UPD655361:UPF655361 UYZ655361:UZB655361 VIV655361:VIX655361 VSR655361:VST655361 WCN655361:WCP655361 WMJ655361:WML655361 WWF655361:WWH655361 T720897:Z720897 JT720897:JV720897 TP720897:TR720897 ADL720897:ADN720897 ANH720897:ANJ720897 AXD720897:AXF720897 BGZ720897:BHB720897 BQV720897:BQX720897 CAR720897:CAT720897 CKN720897:CKP720897 CUJ720897:CUL720897 DEF720897:DEH720897 DOB720897:DOD720897 DXX720897:DXZ720897 EHT720897:EHV720897 ERP720897:ERR720897 FBL720897:FBN720897 FLH720897:FLJ720897 FVD720897:FVF720897 GEZ720897:GFB720897 GOV720897:GOX720897 GYR720897:GYT720897 HIN720897:HIP720897 HSJ720897:HSL720897 ICF720897:ICH720897 IMB720897:IMD720897 IVX720897:IVZ720897 JFT720897:JFV720897 JPP720897:JPR720897 JZL720897:JZN720897 KJH720897:KJJ720897 KTD720897:KTF720897 LCZ720897:LDB720897 LMV720897:LMX720897 LWR720897:LWT720897 MGN720897:MGP720897 MQJ720897:MQL720897 NAF720897:NAH720897 NKB720897:NKD720897 NTX720897:NTZ720897 ODT720897:ODV720897 ONP720897:ONR720897 OXL720897:OXN720897 PHH720897:PHJ720897 PRD720897:PRF720897 QAZ720897:QBB720897 QKV720897:QKX720897 QUR720897:QUT720897 REN720897:REP720897 ROJ720897:ROL720897 RYF720897:RYH720897 SIB720897:SID720897 SRX720897:SRZ720897 TBT720897:TBV720897 TLP720897:TLR720897 TVL720897:TVN720897 UFH720897:UFJ720897 UPD720897:UPF720897 UYZ720897:UZB720897 VIV720897:VIX720897 VSR720897:VST720897 WCN720897:WCP720897 WMJ720897:WML720897 WWF720897:WWH720897 T786433:Z786433 JT786433:JV786433 TP786433:TR786433 ADL786433:ADN786433 ANH786433:ANJ786433 AXD786433:AXF786433 BGZ786433:BHB786433 BQV786433:BQX786433 CAR786433:CAT786433 CKN786433:CKP786433 CUJ786433:CUL786433 DEF786433:DEH786433 DOB786433:DOD786433 DXX786433:DXZ786433 EHT786433:EHV786433 ERP786433:ERR786433 FBL786433:FBN786433 FLH786433:FLJ786433 FVD786433:FVF786433 GEZ786433:GFB786433 GOV786433:GOX786433 GYR786433:GYT786433 HIN786433:HIP786433 HSJ786433:HSL786433 ICF786433:ICH786433 IMB786433:IMD786433 IVX786433:IVZ786433 JFT786433:JFV786433 JPP786433:JPR786433 JZL786433:JZN786433 KJH786433:KJJ786433 KTD786433:KTF786433 LCZ786433:LDB786433 LMV786433:LMX786433 LWR786433:LWT786433 MGN786433:MGP786433 MQJ786433:MQL786433 NAF786433:NAH786433 NKB786433:NKD786433 NTX786433:NTZ786433 ODT786433:ODV786433 ONP786433:ONR786433 OXL786433:OXN786433 PHH786433:PHJ786433 PRD786433:PRF786433 QAZ786433:QBB786433 QKV786433:QKX786433 QUR786433:QUT786433 REN786433:REP786433 ROJ786433:ROL786433 RYF786433:RYH786433 SIB786433:SID786433 SRX786433:SRZ786433 TBT786433:TBV786433 TLP786433:TLR786433 TVL786433:TVN786433 UFH786433:UFJ786433 UPD786433:UPF786433 UYZ786433:UZB786433 VIV786433:VIX786433 VSR786433:VST786433 WCN786433:WCP786433 WMJ786433:WML786433 WWF786433:WWH786433 T851969:Z851969 JT851969:JV851969 TP851969:TR851969 ADL851969:ADN851969 ANH851969:ANJ851969 AXD851969:AXF851969 BGZ851969:BHB851969 BQV851969:BQX851969 CAR851969:CAT851969 CKN851969:CKP851969 CUJ851969:CUL851969 DEF851969:DEH851969 DOB851969:DOD851969 DXX851969:DXZ851969 EHT851969:EHV851969 ERP851969:ERR851969 FBL851969:FBN851969 FLH851969:FLJ851969 FVD851969:FVF851969 GEZ851969:GFB851969 GOV851969:GOX851969 GYR851969:GYT851969 HIN851969:HIP851969 HSJ851969:HSL851969 ICF851969:ICH851969 IMB851969:IMD851969 IVX851969:IVZ851969 JFT851969:JFV851969 JPP851969:JPR851969 JZL851969:JZN851969 KJH851969:KJJ851969 KTD851969:KTF851969 LCZ851969:LDB851969 LMV851969:LMX851969 LWR851969:LWT851969 MGN851969:MGP851969 MQJ851969:MQL851969 NAF851969:NAH851969 NKB851969:NKD851969 NTX851969:NTZ851969 ODT851969:ODV851969 ONP851969:ONR851969 OXL851969:OXN851969 PHH851969:PHJ851969 PRD851969:PRF851969 QAZ851969:QBB851969 QKV851969:QKX851969 QUR851969:QUT851969 REN851969:REP851969 ROJ851969:ROL851969 RYF851969:RYH851969 SIB851969:SID851969 SRX851969:SRZ851969 TBT851969:TBV851969 TLP851969:TLR851969 TVL851969:TVN851969 UFH851969:UFJ851969 UPD851969:UPF851969 UYZ851969:UZB851969 VIV851969:VIX851969 VSR851969:VST851969 WCN851969:WCP851969 WMJ851969:WML851969 WWF851969:WWH851969 T917505:Z917505 JT917505:JV917505 TP917505:TR917505 ADL917505:ADN917505 ANH917505:ANJ917505 AXD917505:AXF917505 BGZ917505:BHB917505 BQV917505:BQX917505 CAR917505:CAT917505 CKN917505:CKP917505 CUJ917505:CUL917505 DEF917505:DEH917505 DOB917505:DOD917505 DXX917505:DXZ917505 EHT917505:EHV917505 ERP917505:ERR917505 FBL917505:FBN917505 FLH917505:FLJ917505 FVD917505:FVF917505 GEZ917505:GFB917505 GOV917505:GOX917505 GYR917505:GYT917505 HIN917505:HIP917505 HSJ917505:HSL917505 ICF917505:ICH917505 IMB917505:IMD917505 IVX917505:IVZ917505 JFT917505:JFV917505 JPP917505:JPR917505 JZL917505:JZN917505 KJH917505:KJJ917505 KTD917505:KTF917505 LCZ917505:LDB917505 LMV917505:LMX917505 LWR917505:LWT917505 MGN917505:MGP917505 MQJ917505:MQL917505 NAF917505:NAH917505 NKB917505:NKD917505 NTX917505:NTZ917505 ODT917505:ODV917505 ONP917505:ONR917505 OXL917505:OXN917505 PHH917505:PHJ917505 PRD917505:PRF917505 QAZ917505:QBB917505 QKV917505:QKX917505 QUR917505:QUT917505 REN917505:REP917505 ROJ917505:ROL917505 RYF917505:RYH917505 SIB917505:SID917505 SRX917505:SRZ917505 TBT917505:TBV917505 TLP917505:TLR917505 TVL917505:TVN917505 UFH917505:UFJ917505 UPD917505:UPF917505 UYZ917505:UZB917505 VIV917505:VIX917505 VSR917505:VST917505 WCN917505:WCP917505 WMJ917505:WML917505 WWF917505:WWH917505 T983041:Z983041 JT983041:JV983041 TP983041:TR983041 ADL983041:ADN983041 ANH983041:ANJ983041 AXD983041:AXF983041 BGZ983041:BHB983041 BQV983041:BQX983041 CAR983041:CAT983041 CKN983041:CKP983041 CUJ983041:CUL983041 DEF983041:DEH983041 DOB983041:DOD983041 DXX983041:DXZ983041 EHT983041:EHV983041 ERP983041:ERR983041 FBL983041:FBN983041 FLH983041:FLJ983041 FVD983041:FVF983041 GEZ983041:GFB983041 GOV983041:GOX983041 GYR983041:GYT983041 HIN983041:HIP983041 HSJ983041:HSL983041 ICF983041:ICH983041 IMB983041:IMD983041 IVX983041:IVZ983041 JFT983041:JFV983041 JPP983041:JPR983041 JZL983041:JZN983041 KJH983041:KJJ983041 KTD983041:KTF983041 LCZ983041:LDB983041 LMV983041:LMX983041 LWR983041:LWT983041 MGN983041:MGP983041 MQJ983041:MQL983041 NAF983041:NAH983041 NKB983041:NKD983041 NTX983041:NTZ983041 ODT983041:ODV983041 ONP983041:ONR983041 OXL983041:OXN983041 PHH983041:PHJ983041 PRD983041:PRF983041 QAZ983041:QBB983041 QKV983041:QKX983041 QUR983041:QUT983041 REN983041:REP983041 ROJ983041:ROL983041 RYF983041:RYH983041 SIB983041:SID983041 SRX983041:SRZ983041 TBT983041:TBV983041 TLP983041:TLR983041 TVL983041:TVN983041 UFH983041:UFJ983041 UPD983041:UPF983041 UYZ983041:UZB983041 VIV983041:VIX983041 VSR983041:VST983041 WCN983041:WCP983041 WMJ983041:WML983041 WWF983041:WWH983041 WMB983041 JP5:JR5 TL5:TN5 ADH5:ADJ5 AND5:ANF5 AWZ5:AXB5 BGV5:BGX5 BQR5:BQT5 CAN5:CAP5 CKJ5:CKL5 CUF5:CUH5 DEB5:DED5 DNX5:DNZ5 DXT5:DXV5 EHP5:EHR5 ERL5:ERN5 FBH5:FBJ5 FLD5:FLF5 FUZ5:FVB5 GEV5:GEX5 GOR5:GOT5 GYN5:GYP5 HIJ5:HIL5 HSF5:HSH5 ICB5:ICD5 ILX5:ILZ5 IVT5:IVV5 JFP5:JFR5 JPL5:JPN5 JZH5:JZJ5 KJD5:KJF5 KSZ5:KTB5 LCV5:LCX5 LMR5:LMT5 LWN5:LWP5 MGJ5:MGL5 MQF5:MQH5 NAB5:NAD5 NJX5:NJZ5 NTT5:NTV5 ODP5:ODR5 ONL5:ONN5 OXH5:OXJ5 PHD5:PHF5 PQZ5:PRB5 QAV5:QAX5 QKR5:QKT5 QUN5:QUP5 REJ5:REL5 ROF5:ROH5 RYB5:RYD5 SHX5:SHZ5 SRT5:SRV5 TBP5:TBR5 TLL5:TLN5 TVH5:TVJ5 UFD5:UFF5 UOZ5:UPB5 UYV5:UYX5 VIR5:VIT5 VSN5:VSP5 WCJ5:WCL5 WMF5:WMH5 WWB5:WWD5 L65537:R65537 JP65537:JR65537 TL65537:TN65537 ADH65537:ADJ65537 AND65537:ANF65537 AWZ65537:AXB65537 BGV65537:BGX65537 BQR65537:BQT65537 CAN65537:CAP65537 CKJ65537:CKL65537 CUF65537:CUH65537 DEB65537:DED65537 DNX65537:DNZ65537 DXT65537:DXV65537 EHP65537:EHR65537 ERL65537:ERN65537 FBH65537:FBJ65537 FLD65537:FLF65537 FUZ65537:FVB65537 GEV65537:GEX65537 GOR65537:GOT65537 GYN65537:GYP65537 HIJ65537:HIL65537 HSF65537:HSH65537 ICB65537:ICD65537 ILX65537:ILZ65537 IVT65537:IVV65537 JFP65537:JFR65537 JPL65537:JPN65537 JZH65537:JZJ65537 KJD65537:KJF65537 KSZ65537:KTB65537 LCV65537:LCX65537 LMR65537:LMT65537 LWN65537:LWP65537 MGJ65537:MGL65537 MQF65537:MQH65537 NAB65537:NAD65537 NJX65537:NJZ65537 NTT65537:NTV65537 ODP65537:ODR65537 ONL65537:ONN65537 OXH65537:OXJ65537 PHD65537:PHF65537 PQZ65537:PRB65537 QAV65537:QAX65537 QKR65537:QKT65537 QUN65537:QUP65537 REJ65537:REL65537 ROF65537:ROH65537 RYB65537:RYD65537 SHX65537:SHZ65537 SRT65537:SRV65537 TBP65537:TBR65537 TLL65537:TLN65537 TVH65537:TVJ65537 UFD65537:UFF65537 UOZ65537:UPB65537 UYV65537:UYX65537 VIR65537:VIT65537 VSN65537:VSP65537 WCJ65537:WCL65537 WMF65537:WMH65537 WWB65537:WWD65537 L131073:R131073 JP131073:JR131073 TL131073:TN131073 ADH131073:ADJ131073 AND131073:ANF131073 AWZ131073:AXB131073 BGV131073:BGX131073 BQR131073:BQT131073 CAN131073:CAP131073 CKJ131073:CKL131073 CUF131073:CUH131073 DEB131073:DED131073 DNX131073:DNZ131073 DXT131073:DXV131073 EHP131073:EHR131073 ERL131073:ERN131073 FBH131073:FBJ131073 FLD131073:FLF131073 FUZ131073:FVB131073 GEV131073:GEX131073 GOR131073:GOT131073 GYN131073:GYP131073 HIJ131073:HIL131073 HSF131073:HSH131073 ICB131073:ICD131073 ILX131073:ILZ131073 IVT131073:IVV131073 JFP131073:JFR131073 JPL131073:JPN131073 JZH131073:JZJ131073 KJD131073:KJF131073 KSZ131073:KTB131073 LCV131073:LCX131073 LMR131073:LMT131073 LWN131073:LWP131073 MGJ131073:MGL131073 MQF131073:MQH131073 NAB131073:NAD131073 NJX131073:NJZ131073 NTT131073:NTV131073 ODP131073:ODR131073 ONL131073:ONN131073 OXH131073:OXJ131073 PHD131073:PHF131073 PQZ131073:PRB131073 QAV131073:QAX131073 QKR131073:QKT131073 QUN131073:QUP131073 REJ131073:REL131073 ROF131073:ROH131073 RYB131073:RYD131073 SHX131073:SHZ131073 SRT131073:SRV131073 TBP131073:TBR131073 TLL131073:TLN131073 TVH131073:TVJ131073 UFD131073:UFF131073 UOZ131073:UPB131073 UYV131073:UYX131073 VIR131073:VIT131073 VSN131073:VSP131073 WCJ131073:WCL131073 WMF131073:WMH131073 WWB131073:WWD131073 L196609:R196609 JP196609:JR196609 TL196609:TN196609 ADH196609:ADJ196609 AND196609:ANF196609 AWZ196609:AXB196609 BGV196609:BGX196609 BQR196609:BQT196609 CAN196609:CAP196609 CKJ196609:CKL196609 CUF196609:CUH196609 DEB196609:DED196609 DNX196609:DNZ196609 DXT196609:DXV196609 EHP196609:EHR196609 ERL196609:ERN196609 FBH196609:FBJ196609 FLD196609:FLF196609 FUZ196609:FVB196609 GEV196609:GEX196609 GOR196609:GOT196609 GYN196609:GYP196609 HIJ196609:HIL196609 HSF196609:HSH196609 ICB196609:ICD196609 ILX196609:ILZ196609 IVT196609:IVV196609 JFP196609:JFR196609 JPL196609:JPN196609 JZH196609:JZJ196609 KJD196609:KJF196609 KSZ196609:KTB196609 LCV196609:LCX196609 LMR196609:LMT196609 LWN196609:LWP196609 MGJ196609:MGL196609 MQF196609:MQH196609 NAB196609:NAD196609 NJX196609:NJZ196609 NTT196609:NTV196609 ODP196609:ODR196609 ONL196609:ONN196609 OXH196609:OXJ196609 PHD196609:PHF196609 PQZ196609:PRB196609 QAV196609:QAX196609 QKR196609:QKT196609 QUN196609:QUP196609 REJ196609:REL196609 ROF196609:ROH196609 RYB196609:RYD196609 SHX196609:SHZ196609 SRT196609:SRV196609 TBP196609:TBR196609 TLL196609:TLN196609 TVH196609:TVJ196609 UFD196609:UFF196609 UOZ196609:UPB196609 UYV196609:UYX196609 VIR196609:VIT196609 VSN196609:VSP196609 WCJ196609:WCL196609 WMF196609:WMH196609 WWB196609:WWD196609 L262145:R262145 JP262145:JR262145 TL262145:TN262145 ADH262145:ADJ262145 AND262145:ANF262145 AWZ262145:AXB262145 BGV262145:BGX262145 BQR262145:BQT262145 CAN262145:CAP262145 CKJ262145:CKL262145 CUF262145:CUH262145 DEB262145:DED262145 DNX262145:DNZ262145 DXT262145:DXV262145 EHP262145:EHR262145 ERL262145:ERN262145 FBH262145:FBJ262145 FLD262145:FLF262145 FUZ262145:FVB262145 GEV262145:GEX262145 GOR262145:GOT262145 GYN262145:GYP262145 HIJ262145:HIL262145 HSF262145:HSH262145 ICB262145:ICD262145 ILX262145:ILZ262145 IVT262145:IVV262145 JFP262145:JFR262145 JPL262145:JPN262145 JZH262145:JZJ262145 KJD262145:KJF262145 KSZ262145:KTB262145 LCV262145:LCX262145 LMR262145:LMT262145 LWN262145:LWP262145 MGJ262145:MGL262145 MQF262145:MQH262145 NAB262145:NAD262145 NJX262145:NJZ262145 NTT262145:NTV262145 ODP262145:ODR262145 ONL262145:ONN262145 OXH262145:OXJ262145 PHD262145:PHF262145 PQZ262145:PRB262145 QAV262145:QAX262145 QKR262145:QKT262145 QUN262145:QUP262145 REJ262145:REL262145 ROF262145:ROH262145 RYB262145:RYD262145 SHX262145:SHZ262145 SRT262145:SRV262145 TBP262145:TBR262145 TLL262145:TLN262145 TVH262145:TVJ262145 UFD262145:UFF262145 UOZ262145:UPB262145 UYV262145:UYX262145 VIR262145:VIT262145 VSN262145:VSP262145 WCJ262145:WCL262145 WMF262145:WMH262145 WWB262145:WWD262145 L327681:R327681 JP327681:JR327681 TL327681:TN327681 ADH327681:ADJ327681 AND327681:ANF327681 AWZ327681:AXB327681 BGV327681:BGX327681 BQR327681:BQT327681 CAN327681:CAP327681 CKJ327681:CKL327681 CUF327681:CUH327681 DEB327681:DED327681 DNX327681:DNZ327681 DXT327681:DXV327681 EHP327681:EHR327681 ERL327681:ERN327681 FBH327681:FBJ327681 FLD327681:FLF327681 FUZ327681:FVB327681 GEV327681:GEX327681 GOR327681:GOT327681 GYN327681:GYP327681 HIJ327681:HIL327681 HSF327681:HSH327681 ICB327681:ICD327681 ILX327681:ILZ327681 IVT327681:IVV327681 JFP327681:JFR327681 JPL327681:JPN327681 JZH327681:JZJ327681 KJD327681:KJF327681 KSZ327681:KTB327681 LCV327681:LCX327681 LMR327681:LMT327681 LWN327681:LWP327681 MGJ327681:MGL327681 MQF327681:MQH327681 NAB327681:NAD327681 NJX327681:NJZ327681 NTT327681:NTV327681 ODP327681:ODR327681 ONL327681:ONN327681 OXH327681:OXJ327681 PHD327681:PHF327681 PQZ327681:PRB327681 QAV327681:QAX327681 QKR327681:QKT327681 QUN327681:QUP327681 REJ327681:REL327681 ROF327681:ROH327681 RYB327681:RYD327681 SHX327681:SHZ327681 SRT327681:SRV327681 TBP327681:TBR327681 TLL327681:TLN327681 TVH327681:TVJ327681 UFD327681:UFF327681 UOZ327681:UPB327681 UYV327681:UYX327681 VIR327681:VIT327681 VSN327681:VSP327681 WCJ327681:WCL327681 WMF327681:WMH327681 WWB327681:WWD327681 L393217:R393217 JP393217:JR393217 TL393217:TN393217 ADH393217:ADJ393217 AND393217:ANF393217 AWZ393217:AXB393217 BGV393217:BGX393217 BQR393217:BQT393217 CAN393217:CAP393217 CKJ393217:CKL393217 CUF393217:CUH393217 DEB393217:DED393217 DNX393217:DNZ393217 DXT393217:DXV393217 EHP393217:EHR393217 ERL393217:ERN393217 FBH393217:FBJ393217 FLD393217:FLF393217 FUZ393217:FVB393217 GEV393217:GEX393217 GOR393217:GOT393217 GYN393217:GYP393217 HIJ393217:HIL393217 HSF393217:HSH393217 ICB393217:ICD393217 ILX393217:ILZ393217 IVT393217:IVV393217 JFP393217:JFR393217 JPL393217:JPN393217 JZH393217:JZJ393217 KJD393217:KJF393217 KSZ393217:KTB393217 LCV393217:LCX393217 LMR393217:LMT393217 LWN393217:LWP393217 MGJ393217:MGL393217 MQF393217:MQH393217 NAB393217:NAD393217 NJX393217:NJZ393217 NTT393217:NTV393217 ODP393217:ODR393217 ONL393217:ONN393217 OXH393217:OXJ393217 PHD393217:PHF393217 PQZ393217:PRB393217 QAV393217:QAX393217 QKR393217:QKT393217 QUN393217:QUP393217 REJ393217:REL393217 ROF393217:ROH393217 RYB393217:RYD393217 SHX393217:SHZ393217 SRT393217:SRV393217 TBP393217:TBR393217 TLL393217:TLN393217 TVH393217:TVJ393217 UFD393217:UFF393217 UOZ393217:UPB393217 UYV393217:UYX393217 VIR393217:VIT393217 VSN393217:VSP393217 WCJ393217:WCL393217 WMF393217:WMH393217 WWB393217:WWD393217 L458753:R458753 JP458753:JR458753 TL458753:TN458753 ADH458753:ADJ458753 AND458753:ANF458753 AWZ458753:AXB458753 BGV458753:BGX458753 BQR458753:BQT458753 CAN458753:CAP458753 CKJ458753:CKL458753 CUF458753:CUH458753 DEB458753:DED458753 DNX458753:DNZ458753 DXT458753:DXV458753 EHP458753:EHR458753 ERL458753:ERN458753 FBH458753:FBJ458753 FLD458753:FLF458753 FUZ458753:FVB458753 GEV458753:GEX458753 GOR458753:GOT458753 GYN458753:GYP458753 HIJ458753:HIL458753 HSF458753:HSH458753 ICB458753:ICD458753 ILX458753:ILZ458753 IVT458753:IVV458753 JFP458753:JFR458753 JPL458753:JPN458753 JZH458753:JZJ458753 KJD458753:KJF458753 KSZ458753:KTB458753 LCV458753:LCX458753 LMR458753:LMT458753 LWN458753:LWP458753 MGJ458753:MGL458753 MQF458753:MQH458753 NAB458753:NAD458753 NJX458753:NJZ458753 NTT458753:NTV458753 ODP458753:ODR458753 ONL458753:ONN458753 OXH458753:OXJ458753 PHD458753:PHF458753 PQZ458753:PRB458753 QAV458753:QAX458753 QKR458753:QKT458753 QUN458753:QUP458753 REJ458753:REL458753 ROF458753:ROH458753 RYB458753:RYD458753 SHX458753:SHZ458753 SRT458753:SRV458753 TBP458753:TBR458753 TLL458753:TLN458753 TVH458753:TVJ458753 UFD458753:UFF458753 UOZ458753:UPB458753 UYV458753:UYX458753 VIR458753:VIT458753 VSN458753:VSP458753 WCJ458753:WCL458753 WMF458753:WMH458753 WWB458753:WWD458753 L524289:R524289 JP524289:JR524289 TL524289:TN524289 ADH524289:ADJ524289 AND524289:ANF524289 AWZ524289:AXB524289 BGV524289:BGX524289 BQR524289:BQT524289 CAN524289:CAP524289 CKJ524289:CKL524289 CUF524289:CUH524289 DEB524289:DED524289 DNX524289:DNZ524289 DXT524289:DXV524289 EHP524289:EHR524289 ERL524289:ERN524289 FBH524289:FBJ524289 FLD524289:FLF524289 FUZ524289:FVB524289 GEV524289:GEX524289 GOR524289:GOT524289 GYN524289:GYP524289 HIJ524289:HIL524289 HSF524289:HSH524289 ICB524289:ICD524289 ILX524289:ILZ524289 IVT524289:IVV524289 JFP524289:JFR524289 JPL524289:JPN524289 JZH524289:JZJ524289 KJD524289:KJF524289 KSZ524289:KTB524289 LCV524289:LCX524289 LMR524289:LMT524289 LWN524289:LWP524289 MGJ524289:MGL524289 MQF524289:MQH524289 NAB524289:NAD524289 NJX524289:NJZ524289 NTT524289:NTV524289 ODP524289:ODR524289 ONL524289:ONN524289 OXH524289:OXJ524289 PHD524289:PHF524289 PQZ524289:PRB524289 QAV524289:QAX524289 QKR524289:QKT524289 QUN524289:QUP524289 REJ524289:REL524289 ROF524289:ROH524289 RYB524289:RYD524289 SHX524289:SHZ524289 SRT524289:SRV524289 TBP524289:TBR524289 TLL524289:TLN524289 TVH524289:TVJ524289 UFD524289:UFF524289 UOZ524289:UPB524289 UYV524289:UYX524289 VIR524289:VIT524289 VSN524289:VSP524289 WCJ524289:WCL524289 WMF524289:WMH524289 WWB524289:WWD524289 L589825:R589825 JP589825:JR589825 TL589825:TN589825 ADH589825:ADJ589825 AND589825:ANF589825 AWZ589825:AXB589825 BGV589825:BGX589825 BQR589825:BQT589825 CAN589825:CAP589825 CKJ589825:CKL589825 CUF589825:CUH589825 DEB589825:DED589825 DNX589825:DNZ589825 DXT589825:DXV589825 EHP589825:EHR589825 ERL589825:ERN589825 FBH589825:FBJ589825 FLD589825:FLF589825 FUZ589825:FVB589825 GEV589825:GEX589825 GOR589825:GOT589825 GYN589825:GYP589825 HIJ589825:HIL589825 HSF589825:HSH589825 ICB589825:ICD589825 ILX589825:ILZ589825 IVT589825:IVV589825 JFP589825:JFR589825 JPL589825:JPN589825 JZH589825:JZJ589825 KJD589825:KJF589825 KSZ589825:KTB589825 LCV589825:LCX589825 LMR589825:LMT589825 LWN589825:LWP589825 MGJ589825:MGL589825 MQF589825:MQH589825 NAB589825:NAD589825 NJX589825:NJZ589825 NTT589825:NTV589825 ODP589825:ODR589825 ONL589825:ONN589825 OXH589825:OXJ589825 PHD589825:PHF589825 PQZ589825:PRB589825 QAV589825:QAX589825 QKR589825:QKT589825 QUN589825:QUP589825 REJ589825:REL589825 ROF589825:ROH589825 RYB589825:RYD589825 SHX589825:SHZ589825 SRT589825:SRV589825 TBP589825:TBR589825 TLL589825:TLN589825 TVH589825:TVJ589825 UFD589825:UFF589825 UOZ589825:UPB589825 UYV589825:UYX589825 VIR589825:VIT589825 VSN589825:VSP589825 WCJ589825:WCL589825 WMF589825:WMH589825 WWB589825:WWD589825 L655361:R655361 JP655361:JR655361 TL655361:TN655361 ADH655361:ADJ655361 AND655361:ANF655361 AWZ655361:AXB655361 BGV655361:BGX655361 BQR655361:BQT655361 CAN655361:CAP655361 CKJ655361:CKL655361 CUF655361:CUH655361 DEB655361:DED655361 DNX655361:DNZ655361 DXT655361:DXV655361 EHP655361:EHR655361 ERL655361:ERN655361 FBH655361:FBJ655361 FLD655361:FLF655361 FUZ655361:FVB655361 GEV655361:GEX655361 GOR655361:GOT655361 GYN655361:GYP655361 HIJ655361:HIL655361 HSF655361:HSH655361 ICB655361:ICD655361 ILX655361:ILZ655361 IVT655361:IVV655361 JFP655361:JFR655361 JPL655361:JPN655361 JZH655361:JZJ655361 KJD655361:KJF655361 KSZ655361:KTB655361 LCV655361:LCX655361 LMR655361:LMT655361 LWN655361:LWP655361 MGJ655361:MGL655361 MQF655361:MQH655361 NAB655361:NAD655361 NJX655361:NJZ655361 NTT655361:NTV655361 ODP655361:ODR655361 ONL655361:ONN655361 OXH655361:OXJ655361 PHD655361:PHF655361 PQZ655361:PRB655361 QAV655361:QAX655361 QKR655361:QKT655361 QUN655361:QUP655361 REJ655361:REL655361 ROF655361:ROH655361 RYB655361:RYD655361 SHX655361:SHZ655361 SRT655361:SRV655361 TBP655361:TBR655361 TLL655361:TLN655361 TVH655361:TVJ655361 UFD655361:UFF655361 UOZ655361:UPB655361 UYV655361:UYX655361 VIR655361:VIT655361 VSN655361:VSP655361 WCJ655361:WCL655361 WMF655361:WMH655361 WWB655361:WWD655361 L720897:R720897 JP720897:JR720897 TL720897:TN720897 ADH720897:ADJ720897 AND720897:ANF720897 AWZ720897:AXB720897 BGV720897:BGX720897 BQR720897:BQT720897 CAN720897:CAP720897 CKJ720897:CKL720897 CUF720897:CUH720897 DEB720897:DED720897 DNX720897:DNZ720897 DXT720897:DXV720897 EHP720897:EHR720897 ERL720897:ERN720897 FBH720897:FBJ720897 FLD720897:FLF720897 FUZ720897:FVB720897 GEV720897:GEX720897 GOR720897:GOT720897 GYN720897:GYP720897 HIJ720897:HIL720897 HSF720897:HSH720897 ICB720897:ICD720897 ILX720897:ILZ720897 IVT720897:IVV720897 JFP720897:JFR720897 JPL720897:JPN720897 JZH720897:JZJ720897 KJD720897:KJF720897 KSZ720897:KTB720897 LCV720897:LCX720897 LMR720897:LMT720897 LWN720897:LWP720897 MGJ720897:MGL720897 MQF720897:MQH720897 NAB720897:NAD720897 NJX720897:NJZ720897 NTT720897:NTV720897 ODP720897:ODR720897 ONL720897:ONN720897 OXH720897:OXJ720897 PHD720897:PHF720897 PQZ720897:PRB720897 QAV720897:QAX720897 QKR720897:QKT720897 QUN720897:QUP720897 REJ720897:REL720897 ROF720897:ROH720897 RYB720897:RYD720897 SHX720897:SHZ720897 SRT720897:SRV720897 TBP720897:TBR720897 TLL720897:TLN720897 TVH720897:TVJ720897 UFD720897:UFF720897 UOZ720897:UPB720897 UYV720897:UYX720897 VIR720897:VIT720897 VSN720897:VSP720897 WCJ720897:WCL720897 WMF720897:WMH720897 WWB720897:WWD720897 L786433:R786433 JP786433:JR786433 TL786433:TN786433 ADH786433:ADJ786433 AND786433:ANF786433 AWZ786433:AXB786433 BGV786433:BGX786433 BQR786433:BQT786433 CAN786433:CAP786433 CKJ786433:CKL786433 CUF786433:CUH786433 DEB786433:DED786433 DNX786433:DNZ786433 DXT786433:DXV786433 EHP786433:EHR786433 ERL786433:ERN786433 FBH786433:FBJ786433 FLD786433:FLF786433 FUZ786433:FVB786433 GEV786433:GEX786433 GOR786433:GOT786433 GYN786433:GYP786433 HIJ786433:HIL786433 HSF786433:HSH786433 ICB786433:ICD786433 ILX786433:ILZ786433 IVT786433:IVV786433 JFP786433:JFR786433 JPL786433:JPN786433 JZH786433:JZJ786433 KJD786433:KJF786433 KSZ786433:KTB786433 LCV786433:LCX786433 LMR786433:LMT786433 LWN786433:LWP786433 MGJ786433:MGL786433 MQF786433:MQH786433 NAB786433:NAD786433 NJX786433:NJZ786433 NTT786433:NTV786433 ODP786433:ODR786433 ONL786433:ONN786433 OXH786433:OXJ786433 PHD786433:PHF786433 PQZ786433:PRB786433 QAV786433:QAX786433 QKR786433:QKT786433 QUN786433:QUP786433 REJ786433:REL786433 ROF786433:ROH786433 RYB786433:RYD786433 SHX786433:SHZ786433 SRT786433:SRV786433 TBP786433:TBR786433 TLL786433:TLN786433 TVH786433:TVJ786433 UFD786433:UFF786433 UOZ786433:UPB786433 UYV786433:UYX786433 VIR786433:VIT786433 VSN786433:VSP786433 WCJ786433:WCL786433 WMF786433:WMH786433 WWB786433:WWD786433 L851969:R851969 JP851969:JR851969 TL851969:TN851969 ADH851969:ADJ851969 AND851969:ANF851969 AWZ851969:AXB851969 BGV851969:BGX851969 BQR851969:BQT851969 CAN851969:CAP851969 CKJ851969:CKL851969 CUF851969:CUH851969 DEB851969:DED851969 DNX851969:DNZ851969 DXT851969:DXV851969 EHP851969:EHR851969 ERL851969:ERN851969 FBH851969:FBJ851969 FLD851969:FLF851969 FUZ851969:FVB851969 GEV851969:GEX851969 GOR851969:GOT851969 GYN851969:GYP851969 HIJ851969:HIL851969 HSF851969:HSH851969 ICB851969:ICD851969 ILX851969:ILZ851969 IVT851969:IVV851969 JFP851969:JFR851969 JPL851969:JPN851969 JZH851969:JZJ851969 KJD851969:KJF851969 KSZ851969:KTB851969 LCV851969:LCX851969 LMR851969:LMT851969 LWN851969:LWP851969 MGJ851969:MGL851969 MQF851969:MQH851969 NAB851969:NAD851969 NJX851969:NJZ851969 NTT851969:NTV851969 ODP851969:ODR851969 ONL851969:ONN851969 OXH851969:OXJ851969 PHD851969:PHF851969 PQZ851969:PRB851969 QAV851969:QAX851969 QKR851969:QKT851969 QUN851969:QUP851969 REJ851969:REL851969 ROF851969:ROH851969 RYB851969:RYD851969 SHX851969:SHZ851969 SRT851969:SRV851969 TBP851969:TBR851969 TLL851969:TLN851969 TVH851969:TVJ851969 UFD851969:UFF851969 UOZ851969:UPB851969 UYV851969:UYX851969 VIR851969:VIT851969 VSN851969:VSP851969 WCJ851969:WCL851969 WMF851969:WMH851969 WWB851969:WWD851969 L917505:R917505 JP917505:JR917505 TL917505:TN917505 ADH917505:ADJ917505 AND917505:ANF917505 AWZ917505:AXB917505 BGV917505:BGX917505 BQR917505:BQT917505 CAN917505:CAP917505 CKJ917505:CKL917505 CUF917505:CUH917505 DEB917505:DED917505 DNX917505:DNZ917505 DXT917505:DXV917505 EHP917505:EHR917505 ERL917505:ERN917505 FBH917505:FBJ917505 FLD917505:FLF917505 FUZ917505:FVB917505 GEV917505:GEX917505 GOR917505:GOT917505 GYN917505:GYP917505 HIJ917505:HIL917505 HSF917505:HSH917505 ICB917505:ICD917505 ILX917505:ILZ917505 IVT917505:IVV917505 JFP917505:JFR917505 JPL917505:JPN917505 JZH917505:JZJ917505 KJD917505:KJF917505 KSZ917505:KTB917505 LCV917505:LCX917505 LMR917505:LMT917505 LWN917505:LWP917505 MGJ917505:MGL917505 MQF917505:MQH917505 NAB917505:NAD917505 NJX917505:NJZ917505 NTT917505:NTV917505 ODP917505:ODR917505 ONL917505:ONN917505 OXH917505:OXJ917505 PHD917505:PHF917505 PQZ917505:PRB917505 QAV917505:QAX917505 QKR917505:QKT917505 QUN917505:QUP917505 REJ917505:REL917505 ROF917505:ROH917505 RYB917505:RYD917505 SHX917505:SHZ917505 SRT917505:SRV917505 TBP917505:TBR917505 TLL917505:TLN917505 TVH917505:TVJ917505 UFD917505:UFF917505 UOZ917505:UPB917505 UYV917505:UYX917505 VIR917505:VIT917505 VSN917505:VSP917505 WCJ917505:WCL917505 WMF917505:WMH917505 WWB917505:WWD917505 L983041:R983041 JP983041:JR983041 TL983041:TN983041 ADH983041:ADJ983041 AND983041:ANF983041 AWZ983041:AXB983041 BGV983041:BGX983041 BQR983041:BQT983041 CAN983041:CAP983041 CKJ983041:CKL983041 CUF983041:CUH983041 DEB983041:DED983041 DNX983041:DNZ983041 DXT983041:DXV983041 EHP983041:EHR983041 ERL983041:ERN983041 FBH983041:FBJ983041 FLD983041:FLF983041 FUZ983041:FVB983041 GEV983041:GEX983041 GOR983041:GOT983041 GYN983041:GYP983041 HIJ983041:HIL983041 HSF983041:HSH983041 ICB983041:ICD983041 ILX983041:ILZ983041 IVT983041:IVV983041 JFP983041:JFR983041 JPL983041:JPN983041 JZH983041:JZJ983041 KJD983041:KJF983041 KSZ983041:KTB983041 LCV983041:LCX983041 LMR983041:LMT983041 LWN983041:LWP983041 MGJ983041:MGL983041 MQF983041:MQH983041 NAB983041:NAD983041 NJX983041:NJZ983041 NTT983041:NTV983041 ODP983041:ODR983041 ONL983041:ONN983041 OXH983041:OXJ983041 PHD983041:PHF983041 PQZ983041:PRB983041 QAV983041:QAX983041 QKR983041:QKT983041 QUN983041:QUP983041 REJ983041:REL983041 ROF983041:ROH983041 RYB983041:RYD983041 SHX983041:SHZ983041 SRT983041:SRV983041 TBP983041:TBR983041 TLL983041:TLN983041 TVH983041:TVJ983041 UFD983041:UFF983041 UOZ983041:UPB983041 UYV983041:UYX983041 VIR983041:VIT983041 VSN983041:VSP983041 WCJ983041:WCL983041 WMF983041:WMH983041 WWB983041:WWD983041 WVX983041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D65537:H6553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D131073:H13107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D196609:H19660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D262145:H26214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D327681:H32768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D393217:H39321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D458753:H45875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D524289:H52428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D589825:H58982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D655361:H65536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D720897:H72089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D786433:H78643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D851969:H85196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D917505:H91750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D983041:H98304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formula1>"Haushaltsansatz,Ist 31.12,vorläufiges Rechnungsergebnis,geprüftes Rechnungsergebnis"</formula1>
    </dataValidation>
    <dataValidation type="list" allowBlank="1" showInputMessage="1" showErrorMessage="1" sqref="D5:J5 L5:R5 T5:Z5">
      <formula1>"Bitte auswählen,Haushaltsansatz,Ist 31.12,vorläufiges Rechnungsergebnis,geprüftes Rechnungsergebnis"</formula1>
    </dataValidation>
    <dataValidation allowBlank="1" showInputMessage="1" showErrorMessage="1" errorTitle="neg.Vorzeichenverbot" error="Bitte keine Beträge mit negativem Vorzeichen eingeben. " prompt="Grundsätzlich sind nur positive Werte einzutragen. Bei einem negativen Wert bitte prüfen, ob dieser tatsächlich korrekt ist.   " sqref="C23 I23 Q23 E23 G23 K23 M23 O23 S23 U23 W23 Y23"/>
    <dataValidation type="decimal" allowBlank="1" showErrorMessage="1" errorTitle="neg.Vorzeichenverbot" error="Bitte keine Beträge mit negativem Vorzeichen eingeben. " prompt="Bitte nur Beträge mit positivem Vorzeichen eingeben. " sqref="W8:W22 I8:I22 Q8:Q22 C8:C22 K8:K22 S8:S22 E8:E22 M8:M22 U8:U22 G8:G22 O8:O22 Y8:Y22">
      <formula1>0</formula1>
      <formula2>9.99999999999999E+25</formula2>
    </dataValidation>
  </dataValidations>
  <printOptions horizontalCentered="1" verticalCentered="1"/>
  <pageMargins left="0.11811023622047245" right="0" top="0" bottom="0" header="0.31496062992125984" footer="0.31496062992125984"/>
  <pageSetup paperSize="9" scale="2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topLeftCell="A7" zoomScale="70" zoomScaleNormal="70" workbookViewId="0">
      <selection activeCell="C17" sqref="C17"/>
    </sheetView>
  </sheetViews>
  <sheetFormatPr baseColWidth="10" defaultColWidth="13.625" defaultRowHeight="14.25"/>
  <cols>
    <col min="1" max="1" width="40.25" style="737" customWidth="1"/>
    <col min="2" max="2" width="20.625" style="737" customWidth="1"/>
    <col min="3" max="3" width="18.375" style="737" customWidth="1"/>
    <col min="4" max="4" width="18" style="737" customWidth="1"/>
    <col min="5" max="5" width="20.25" style="737" customWidth="1"/>
    <col min="6" max="6" width="22" style="737" customWidth="1"/>
    <col min="7" max="7" width="11.875" style="737" customWidth="1"/>
    <col min="8" max="8" width="15.625" style="737" customWidth="1"/>
    <col min="9" max="16384" width="13.625" style="737"/>
  </cols>
  <sheetData>
    <row r="1" spans="1:7" ht="37.5" customHeight="1">
      <c r="A1" s="1011" t="s">
        <v>869</v>
      </c>
      <c r="B1" s="1012"/>
      <c r="C1" s="1012"/>
      <c r="D1" s="1012"/>
      <c r="E1" s="1012"/>
      <c r="F1" s="1012"/>
      <c r="G1" s="1012"/>
    </row>
    <row r="2" spans="1:7" ht="18">
      <c r="A2" s="782"/>
      <c r="B2" s="782"/>
      <c r="C2" s="782"/>
      <c r="D2" s="782"/>
      <c r="E2" s="782"/>
      <c r="F2" s="782"/>
      <c r="G2" s="782"/>
    </row>
    <row r="3" spans="1:7" ht="18">
      <c r="A3" s="782" t="s">
        <v>833</v>
      </c>
    </row>
    <row r="4" spans="1:7" ht="18" customHeight="1">
      <c r="A4" s="781" t="s">
        <v>832</v>
      </c>
    </row>
    <row r="6" spans="1:7" ht="18">
      <c r="A6" s="863" t="s">
        <v>831</v>
      </c>
    </row>
    <row r="7" spans="1:7" ht="15.75">
      <c r="A7" s="780" t="s">
        <v>830</v>
      </c>
      <c r="B7" s="744"/>
      <c r="C7" s="744"/>
      <c r="D7" s="744"/>
      <c r="E7" s="744"/>
    </row>
    <row r="9" spans="1:7" ht="21" customHeight="1">
      <c r="A9" s="779" t="s">
        <v>829</v>
      </c>
      <c r="B9" s="806" t="str">
        <f>IF(Deckblatt!G7&gt;0,Deckblatt!G7,"")</f>
        <v/>
      </c>
      <c r="C9" s="748" t="s">
        <v>863</v>
      </c>
    </row>
    <row r="10" spans="1:7" ht="21" customHeight="1">
      <c r="A10" s="779"/>
    </row>
    <row r="11" spans="1:7" ht="21" customHeight="1">
      <c r="A11" s="737" t="s">
        <v>828</v>
      </c>
      <c r="D11" s="832" t="str">
        <f>IF('Verbindlichkeiten '!F23&gt;0,'Verbindlichkeiten '!F23,"")</f>
        <v/>
      </c>
    </row>
    <row r="12" spans="1:7" ht="12" customHeight="1"/>
    <row r="13" spans="1:7" ht="75">
      <c r="A13" s="778" t="s">
        <v>827</v>
      </c>
      <c r="B13" s="778" t="s">
        <v>826</v>
      </c>
      <c r="C13" s="778" t="s">
        <v>825</v>
      </c>
      <c r="D13" s="778" t="s">
        <v>824</v>
      </c>
      <c r="E13" s="778" t="s">
        <v>823</v>
      </c>
      <c r="F13" s="778" t="s">
        <v>822</v>
      </c>
    </row>
    <row r="14" spans="1:7" ht="30">
      <c r="A14" s="777" t="s">
        <v>821</v>
      </c>
      <c r="B14" s="819"/>
      <c r="C14" s="776"/>
      <c r="D14" s="776"/>
      <c r="E14" s="776"/>
      <c r="F14" s="776"/>
    </row>
    <row r="15" spans="1:7" ht="30">
      <c r="A15" s="777" t="s">
        <v>820</v>
      </c>
      <c r="B15" s="819"/>
      <c r="C15" s="776"/>
      <c r="D15" s="776"/>
      <c r="E15" s="776"/>
      <c r="F15" s="776"/>
    </row>
    <row r="16" spans="1:7" ht="24" customHeight="1">
      <c r="A16" s="766" t="s">
        <v>191</v>
      </c>
      <c r="B16" s="820">
        <f>B14-B15</f>
        <v>0</v>
      </c>
    </row>
    <row r="17" spans="1:10" ht="15">
      <c r="A17" s="737" t="s">
        <v>819</v>
      </c>
      <c r="C17" s="797"/>
      <c r="D17" s="797"/>
      <c r="E17" s="768">
        <f t="shared" ref="E17:E28" si="0">C17-D17</f>
        <v>0</v>
      </c>
      <c r="F17" s="768">
        <f>B16+E17</f>
        <v>0</v>
      </c>
      <c r="G17" s="748" t="s">
        <v>818</v>
      </c>
    </row>
    <row r="18" spans="1:10" ht="15">
      <c r="A18" s="737" t="s">
        <v>817</v>
      </c>
      <c r="C18" s="797"/>
      <c r="D18" s="797"/>
      <c r="E18" s="768">
        <f t="shared" si="0"/>
        <v>0</v>
      </c>
      <c r="F18" s="768">
        <f t="shared" ref="F18:F28" si="1">F17+E18</f>
        <v>0</v>
      </c>
      <c r="G18" s="748" t="s">
        <v>816</v>
      </c>
    </row>
    <row r="19" spans="1:10">
      <c r="A19" s="737" t="s">
        <v>815</v>
      </c>
      <c r="C19" s="797"/>
      <c r="D19" s="797"/>
      <c r="E19" s="768">
        <f t="shared" si="0"/>
        <v>0</v>
      </c>
      <c r="F19" s="768">
        <f t="shared" si="1"/>
        <v>0</v>
      </c>
    </row>
    <row r="20" spans="1:10">
      <c r="A20" s="737" t="s">
        <v>814</v>
      </c>
      <c r="C20" s="797"/>
      <c r="D20" s="797"/>
      <c r="E20" s="768">
        <f t="shared" si="0"/>
        <v>0</v>
      </c>
      <c r="F20" s="768">
        <f t="shared" si="1"/>
        <v>0</v>
      </c>
    </row>
    <row r="21" spans="1:10">
      <c r="A21" s="737" t="s">
        <v>813</v>
      </c>
      <c r="C21" s="797"/>
      <c r="D21" s="797"/>
      <c r="E21" s="768">
        <f t="shared" si="0"/>
        <v>0</v>
      </c>
      <c r="F21" s="768">
        <f t="shared" si="1"/>
        <v>0</v>
      </c>
      <c r="J21" s="774"/>
    </row>
    <row r="22" spans="1:10">
      <c r="A22" s="737" t="s">
        <v>812</v>
      </c>
      <c r="C22" s="797"/>
      <c r="D22" s="797"/>
      <c r="E22" s="768">
        <f t="shared" si="0"/>
        <v>0</v>
      </c>
      <c r="F22" s="768">
        <f t="shared" si="1"/>
        <v>0</v>
      </c>
      <c r="J22" s="774"/>
    </row>
    <row r="23" spans="1:10">
      <c r="A23" s="737" t="s">
        <v>811</v>
      </c>
      <c r="C23" s="797"/>
      <c r="D23" s="797"/>
      <c r="E23" s="768">
        <f t="shared" si="0"/>
        <v>0</v>
      </c>
      <c r="F23" s="768">
        <f t="shared" si="1"/>
        <v>0</v>
      </c>
      <c r="J23" s="774"/>
    </row>
    <row r="24" spans="1:10">
      <c r="A24" s="737" t="s">
        <v>810</v>
      </c>
      <c r="C24" s="797"/>
      <c r="D24" s="797"/>
      <c r="E24" s="768">
        <f t="shared" si="0"/>
        <v>0</v>
      </c>
      <c r="F24" s="768">
        <f t="shared" si="1"/>
        <v>0</v>
      </c>
      <c r="J24" s="774"/>
    </row>
    <row r="25" spans="1:10">
      <c r="A25" s="737" t="s">
        <v>809</v>
      </c>
      <c r="C25" s="797"/>
      <c r="D25" s="797"/>
      <c r="E25" s="768">
        <f t="shared" si="0"/>
        <v>0</v>
      </c>
      <c r="F25" s="768">
        <f t="shared" si="1"/>
        <v>0</v>
      </c>
      <c r="J25" s="774"/>
    </row>
    <row r="26" spans="1:10">
      <c r="A26" s="737" t="s">
        <v>808</v>
      </c>
      <c r="C26" s="797"/>
      <c r="D26" s="797"/>
      <c r="E26" s="768">
        <f t="shared" si="0"/>
        <v>0</v>
      </c>
      <c r="F26" s="768">
        <f t="shared" si="1"/>
        <v>0</v>
      </c>
    </row>
    <row r="27" spans="1:10">
      <c r="A27" s="737" t="s">
        <v>807</v>
      </c>
      <c r="C27" s="797"/>
      <c r="D27" s="797"/>
      <c r="E27" s="768">
        <f t="shared" si="0"/>
        <v>0</v>
      </c>
      <c r="F27" s="768">
        <f t="shared" si="1"/>
        <v>0</v>
      </c>
    </row>
    <row r="28" spans="1:10">
      <c r="A28" s="752" t="s">
        <v>806</v>
      </c>
      <c r="B28" s="752"/>
      <c r="C28" s="798"/>
      <c r="D28" s="798"/>
      <c r="E28" s="775">
        <f t="shared" si="0"/>
        <v>0</v>
      </c>
      <c r="F28" s="775">
        <f t="shared" si="1"/>
        <v>0</v>
      </c>
      <c r="J28" s="774"/>
    </row>
    <row r="29" spans="1:10" ht="15">
      <c r="A29" s="749" t="s">
        <v>775</v>
      </c>
      <c r="B29" s="749"/>
      <c r="C29" s="768">
        <f>SUM(C17:C28)</f>
        <v>0</v>
      </c>
      <c r="D29" s="768">
        <f>SUM(D17:D28)</f>
        <v>0</v>
      </c>
      <c r="E29" s="773">
        <f>SUM(E17:E28)</f>
        <v>0</v>
      </c>
      <c r="F29" s="768"/>
    </row>
    <row r="30" spans="1:10" ht="15">
      <c r="A30" s="749" t="s">
        <v>805</v>
      </c>
      <c r="C30" s="797"/>
      <c r="D30" s="797"/>
      <c r="E30" s="768"/>
      <c r="F30" s="768"/>
      <c r="H30" s="796"/>
    </row>
    <row r="31" spans="1:10" ht="15">
      <c r="A31" s="749" t="s">
        <v>191</v>
      </c>
      <c r="C31" s="768">
        <f>C29-C30</f>
        <v>0</v>
      </c>
      <c r="D31" s="768">
        <f>D29-D30</f>
        <v>0</v>
      </c>
      <c r="E31" s="768"/>
      <c r="F31" s="768"/>
    </row>
    <row r="32" spans="1:10">
      <c r="A32" s="737" t="s">
        <v>804</v>
      </c>
      <c r="C32" s="768"/>
      <c r="D32" s="768"/>
      <c r="E32" s="768">
        <f>IF(MIN(E17:E28)&lt;0, MIN(E17:E28)*-1,0)</f>
        <v>0</v>
      </c>
      <c r="F32" s="768"/>
    </row>
    <row r="33" spans="1:12">
      <c r="A33" s="737" t="s">
        <v>803</v>
      </c>
      <c r="F33" s="805">
        <f>IF(MIN(F17:F28)&lt;0, MIN(F17:F28)*-1,0)</f>
        <v>0</v>
      </c>
    </row>
    <row r="34" spans="1:12" ht="12" customHeight="1"/>
    <row r="35" spans="1:12" ht="15">
      <c r="A35" s="772"/>
      <c r="B35" s="771"/>
      <c r="C35" s="771"/>
      <c r="D35" s="770"/>
      <c r="E35" s="770"/>
      <c r="F35" s="770"/>
      <c r="G35" s="770"/>
      <c r="H35" s="770"/>
      <c r="I35" s="770"/>
      <c r="J35" s="754"/>
      <c r="K35" s="754"/>
    </row>
    <row r="36" spans="1:12" ht="12" customHeight="1">
      <c r="A36" s="741"/>
      <c r="B36" s="769"/>
      <c r="C36" s="769"/>
      <c r="D36" s="740"/>
      <c r="E36" s="740"/>
      <c r="F36" s="740"/>
      <c r="G36" s="740"/>
      <c r="H36" s="740"/>
      <c r="I36" s="740"/>
    </row>
    <row r="37" spans="1:12" ht="24" customHeight="1">
      <c r="A37" s="864" t="s">
        <v>802</v>
      </c>
      <c r="B37" s="768"/>
      <c r="C37" s="768"/>
    </row>
    <row r="38" spans="1:12" ht="15">
      <c r="A38" s="737" t="s">
        <v>801</v>
      </c>
      <c r="D38" s="816" t="s">
        <v>800</v>
      </c>
      <c r="E38" s="817" t="str">
        <f>IF(B9="","",B9-1)</f>
        <v/>
      </c>
      <c r="F38" s="818">
        <f>B15</f>
        <v>0</v>
      </c>
      <c r="G38" s="748" t="s">
        <v>799</v>
      </c>
    </row>
    <row r="39" spans="1:12">
      <c r="A39" s="737" t="s">
        <v>798</v>
      </c>
      <c r="F39" s="738"/>
    </row>
    <row r="40" spans="1:12" s="763" customFormat="1" ht="41.25" customHeight="1">
      <c r="A40" s="763" t="s">
        <v>795</v>
      </c>
      <c r="B40" s="1013" t="s">
        <v>868</v>
      </c>
      <c r="C40" s="1013"/>
      <c r="D40" s="814"/>
      <c r="E40" s="809" t="str">
        <f>E38</f>
        <v/>
      </c>
      <c r="F40" s="807"/>
    </row>
    <row r="41" spans="1:12" s="763" customFormat="1" ht="35.25" customHeight="1">
      <c r="A41" s="763" t="s">
        <v>795</v>
      </c>
      <c r="B41" s="1013" t="s">
        <v>797</v>
      </c>
      <c r="C41" s="1013"/>
      <c r="D41" s="814"/>
      <c r="E41" s="809" t="str">
        <f>IF(B9="","",B9-2)</f>
        <v/>
      </c>
      <c r="F41" s="807"/>
      <c r="G41" s="1014" t="s">
        <v>796</v>
      </c>
      <c r="H41" s="1014"/>
      <c r="I41" s="1014"/>
      <c r="J41" s="1014"/>
      <c r="K41" s="1014"/>
      <c r="L41" s="1014"/>
    </row>
    <row r="42" spans="1:12" s="763" customFormat="1" ht="27.75" customHeight="1">
      <c r="A42" s="763" t="s">
        <v>795</v>
      </c>
      <c r="D42" s="767" t="s">
        <v>794</v>
      </c>
      <c r="E42" s="809" t="str">
        <f>E41</f>
        <v/>
      </c>
      <c r="F42" s="807"/>
      <c r="G42" s="764" t="s">
        <v>793</v>
      </c>
    </row>
    <row r="43" spans="1:12" s="763" customFormat="1" ht="32.25" customHeight="1" thickBot="1">
      <c r="A43" s="1013" t="s">
        <v>792</v>
      </c>
      <c r="B43" s="1013"/>
      <c r="C43" s="1013"/>
      <c r="D43" s="1013"/>
      <c r="F43" s="807"/>
      <c r="H43" s="764"/>
    </row>
    <row r="44" spans="1:12" ht="32.25" customHeight="1" thickBot="1">
      <c r="A44" s="766" t="s">
        <v>791</v>
      </c>
      <c r="B44" s="766"/>
      <c r="C44" s="766"/>
      <c r="D44" s="766"/>
      <c r="E44" s="763"/>
      <c r="F44" s="808">
        <f>F38-F40-F41-F42-F43</f>
        <v>0</v>
      </c>
      <c r="G44" s="810" t="s">
        <v>857</v>
      </c>
      <c r="H44" s="764"/>
      <c r="I44" s="763"/>
    </row>
    <row r="45" spans="1:12" ht="12" customHeight="1">
      <c r="A45" s="766"/>
      <c r="B45" s="766"/>
      <c r="C45" s="766"/>
      <c r="D45" s="766"/>
      <c r="E45" s="763"/>
      <c r="F45" s="765"/>
      <c r="G45" s="765"/>
      <c r="H45" s="764"/>
      <c r="I45" s="763"/>
    </row>
    <row r="46" spans="1:12" ht="15.75" customHeight="1">
      <c r="A46" s="762"/>
      <c r="B46" s="762"/>
      <c r="C46" s="762"/>
      <c r="D46" s="762"/>
      <c r="E46" s="754"/>
      <c r="F46" s="761"/>
      <c r="G46" s="754"/>
      <c r="H46" s="756"/>
      <c r="I46" s="754"/>
      <c r="J46" s="754"/>
      <c r="K46" s="754"/>
    </row>
    <row r="47" spans="1:12" ht="12" customHeight="1">
      <c r="A47" s="760"/>
      <c r="B47" s="760"/>
      <c r="C47" s="760"/>
      <c r="D47" s="760"/>
      <c r="E47" s="740"/>
      <c r="F47" s="759"/>
      <c r="G47" s="740"/>
      <c r="H47" s="741"/>
      <c r="I47" s="740"/>
    </row>
    <row r="48" spans="1:12" ht="22.5" customHeight="1">
      <c r="A48" s="864" t="s">
        <v>790</v>
      </c>
      <c r="H48" s="749"/>
    </row>
    <row r="49" spans="1:12" ht="15">
      <c r="A49" s="737" t="s">
        <v>789</v>
      </c>
      <c r="B49" s="828" t="str">
        <f>IF(B9&gt;0,B9,"")</f>
        <v/>
      </c>
      <c r="F49" s="830" t="str">
        <f>IF(Finanzhaushalt!G8="","",Finanzhaushalt!G8)</f>
        <v/>
      </c>
      <c r="G49" s="748" t="s">
        <v>862</v>
      </c>
      <c r="L49" s="738"/>
    </row>
    <row r="50" spans="1:12" ht="15">
      <c r="A50" s="737" t="s">
        <v>788</v>
      </c>
      <c r="F50" s="821"/>
      <c r="G50" s="748" t="s">
        <v>787</v>
      </c>
    </row>
    <row r="51" spans="1:12" ht="15">
      <c r="A51" s="737" t="s">
        <v>786</v>
      </c>
      <c r="F51" s="831" t="str">
        <f>IF(ISBLANK(F50),F49,SUM(F49-F50))</f>
        <v/>
      </c>
    </row>
    <row r="52" spans="1:12" ht="17.25" customHeight="1" thickBot="1">
      <c r="A52" s="757" t="s">
        <v>785</v>
      </c>
      <c r="B52" s="757"/>
      <c r="C52" s="757"/>
      <c r="F52" s="830" t="str">
        <f>IF(Finanzhaushalt!G35&gt;0,Finanzhaushalt!G35,"")</f>
        <v/>
      </c>
      <c r="G52" s="748" t="s">
        <v>862</v>
      </c>
    </row>
    <row r="53" spans="1:12" ht="18.75" customHeight="1" thickBot="1">
      <c r="A53" s="757" t="s">
        <v>191</v>
      </c>
      <c r="B53" s="757"/>
      <c r="C53" s="757"/>
      <c r="F53" s="829" t="str">
        <f>IF((Finanzhaushalt!G35&lt;=0),F51,SUM(F51-F52))</f>
        <v/>
      </c>
    </row>
    <row r="54" spans="1:12" ht="17.25" customHeight="1" thickBot="1">
      <c r="A54" s="757"/>
      <c r="B54" s="757"/>
      <c r="C54" s="757"/>
      <c r="D54" s="738"/>
    </row>
    <row r="55" spans="1:12" ht="18" customHeight="1" thickBot="1">
      <c r="A55" s="757" t="s">
        <v>784</v>
      </c>
      <c r="B55" s="758"/>
      <c r="C55" s="757"/>
      <c r="F55" s="822"/>
    </row>
    <row r="56" spans="1:12" ht="12" customHeight="1">
      <c r="F56" s="738"/>
    </row>
    <row r="57" spans="1:12" ht="14.25" customHeight="1">
      <c r="A57" s="756"/>
      <c r="B57" s="756"/>
      <c r="C57" s="754"/>
      <c r="D57" s="754"/>
      <c r="E57" s="754"/>
      <c r="F57" s="755"/>
      <c r="G57" s="754"/>
      <c r="H57" s="754"/>
      <c r="I57" s="754"/>
      <c r="J57" s="754"/>
      <c r="K57" s="754"/>
    </row>
    <row r="58" spans="1:12" s="740" customFormat="1" ht="12" customHeight="1">
      <c r="A58" s="741"/>
      <c r="B58" s="741"/>
      <c r="F58" s="753"/>
    </row>
    <row r="59" spans="1:12" ht="18">
      <c r="A59" s="864" t="s">
        <v>783</v>
      </c>
      <c r="F59" s="753"/>
    </row>
    <row r="60" spans="1:12" ht="15">
      <c r="A60" s="741" t="s">
        <v>782</v>
      </c>
      <c r="B60" s="741"/>
      <c r="C60" s="740"/>
      <c r="D60" s="740"/>
      <c r="E60" s="740"/>
      <c r="F60" s="753"/>
    </row>
    <row r="61" spans="1:12" ht="15">
      <c r="A61" s="740" t="s">
        <v>781</v>
      </c>
      <c r="B61" s="741"/>
      <c r="C61" s="740"/>
      <c r="D61" s="740"/>
      <c r="E61" s="740"/>
      <c r="F61" s="753"/>
    </row>
    <row r="62" spans="1:12" ht="15">
      <c r="A62" s="740" t="s">
        <v>780</v>
      </c>
      <c r="B62" s="741"/>
      <c r="C62" s="740"/>
      <c r="D62" s="747" t="s">
        <v>779</v>
      </c>
      <c r="E62" s="811" t="str">
        <f>IF(B9="","",B9-1)</f>
        <v/>
      </c>
      <c r="F62" s="821"/>
      <c r="G62" s="748" t="s">
        <v>776</v>
      </c>
    </row>
    <row r="63" spans="1:12" ht="15">
      <c r="A63" s="740" t="s">
        <v>778</v>
      </c>
      <c r="B63" s="741"/>
      <c r="C63" s="740"/>
      <c r="D63" s="747" t="s">
        <v>190</v>
      </c>
      <c r="E63" s="811" t="str">
        <f>IF(B9="","",B9-2)</f>
        <v/>
      </c>
      <c r="F63" s="821"/>
      <c r="G63" s="748" t="s">
        <v>776</v>
      </c>
    </row>
    <row r="64" spans="1:12" ht="15">
      <c r="A64" s="752" t="s">
        <v>777</v>
      </c>
      <c r="B64" s="751"/>
      <c r="C64" s="750"/>
      <c r="D64" s="812" t="s">
        <v>190</v>
      </c>
      <c r="E64" s="813" t="str">
        <f>IF(B9="","",B9-3)</f>
        <v/>
      </c>
      <c r="F64" s="823"/>
      <c r="G64" s="748" t="s">
        <v>776</v>
      </c>
    </row>
    <row r="65" spans="1:7" ht="15">
      <c r="A65" s="749" t="s">
        <v>775</v>
      </c>
      <c r="B65" s="741"/>
      <c r="C65" s="741"/>
      <c r="D65" s="741"/>
      <c r="E65" s="741"/>
      <c r="F65" s="824">
        <f>SUM(F62:F64)</f>
        <v>0</v>
      </c>
    </row>
    <row r="66" spans="1:7" ht="15">
      <c r="A66" s="737" t="s">
        <v>774</v>
      </c>
      <c r="B66" s="741"/>
      <c r="C66" s="740"/>
      <c r="D66" s="740"/>
      <c r="E66" s="740"/>
      <c r="F66" s="825">
        <f>F65/3</f>
        <v>0</v>
      </c>
    </row>
    <row r="67" spans="1:7" ht="15">
      <c r="A67" s="748" t="s">
        <v>773</v>
      </c>
      <c r="B67" s="747"/>
      <c r="C67" s="747"/>
      <c r="D67" s="747"/>
      <c r="E67" s="747"/>
      <c r="F67" s="826">
        <f>F66*0.02</f>
        <v>0</v>
      </c>
    </row>
    <row r="68" spans="1:7" ht="15">
      <c r="A68" s="737" t="s">
        <v>772</v>
      </c>
      <c r="B68" s="741"/>
      <c r="C68" s="740"/>
      <c r="D68" s="740"/>
      <c r="E68" s="746"/>
      <c r="F68" s="827">
        <f>B16</f>
        <v>0</v>
      </c>
      <c r="G68" s="748" t="s">
        <v>771</v>
      </c>
    </row>
    <row r="69" spans="1:7" ht="15">
      <c r="A69" s="745" t="s">
        <v>770</v>
      </c>
      <c r="B69" s="745"/>
      <c r="C69" s="744"/>
      <c r="D69" s="744"/>
      <c r="E69" s="743"/>
      <c r="F69" s="742" t="str">
        <f>IF(F68&gt;=F67,"ja","nein")</f>
        <v>ja</v>
      </c>
    </row>
    <row r="70" spans="1:7" ht="15">
      <c r="B70" s="741"/>
      <c r="C70" s="740"/>
      <c r="D70" s="740"/>
      <c r="E70" s="740"/>
      <c r="F70" s="739"/>
    </row>
    <row r="72" spans="1:7" ht="15">
      <c r="A72" s="737" t="s">
        <v>769</v>
      </c>
      <c r="E72" s="748" t="s">
        <v>12</v>
      </c>
      <c r="F72" s="738"/>
    </row>
    <row r="73" spans="1:7" ht="15">
      <c r="A73" s="737" t="s">
        <v>768</v>
      </c>
      <c r="E73" s="815" t="str">
        <f>IF(B9="","",B9-1)</f>
        <v/>
      </c>
      <c r="F73" s="821"/>
    </row>
    <row r="74" spans="1:7" ht="15">
      <c r="A74" s="737" t="s">
        <v>767</v>
      </c>
      <c r="E74" s="815" t="str">
        <f>IF(B9="","",B9-1)</f>
        <v/>
      </c>
      <c r="F74" s="821"/>
    </row>
  </sheetData>
  <sheetProtection algorithmName="SHA-512" hashValue="lGJuz1D5pvJAfrjTaICne4aJ2SrPtxSYENRhX+qKWT0uQKkuXvBwQsmuz7DGpX9TfIv56Dh/iDkvI7cpXglgCA==" saltValue="8qpHeuX7VWG6m8esMcqRhg==" spinCount="100000" sheet="1" objects="1" scenarios="1"/>
  <mergeCells count="5">
    <mergeCell ref="A1:G1"/>
    <mergeCell ref="B40:C40"/>
    <mergeCell ref="B41:C41"/>
    <mergeCell ref="A43:D43"/>
    <mergeCell ref="G41:L41"/>
  </mergeCells>
  <conditionalFormatting sqref="E17:E28">
    <cfRule type="top10" dxfId="18" priority="9" percent="1" bottom="1" rank="1"/>
    <cfRule type="top10" dxfId="17" priority="10" bottom="1" rank="1"/>
  </conditionalFormatting>
  <conditionalFormatting sqref="C29">
    <cfRule type="top10" dxfId="16" priority="7" percent="1" bottom="1" rank="1"/>
    <cfRule type="top10" dxfId="15" priority="8" bottom="1" rank="1"/>
  </conditionalFormatting>
  <conditionalFormatting sqref="D29">
    <cfRule type="top10" dxfId="14" priority="6" rank="1"/>
  </conditionalFormatting>
  <conditionalFormatting sqref="C31:D31">
    <cfRule type="top10" dxfId="13" priority="5" rank="1"/>
  </conditionalFormatting>
  <conditionalFormatting sqref="F17:F28">
    <cfRule type="top10" dxfId="12" priority="4" percent="1" bottom="1" rank="1"/>
  </conditionalFormatting>
  <conditionalFormatting sqref="D40">
    <cfRule type="cellIs" dxfId="11" priority="3" operator="notEqual">
      <formula>0</formula>
    </cfRule>
  </conditionalFormatting>
  <conditionalFormatting sqref="D41">
    <cfRule type="cellIs" dxfId="10" priority="1" operator="notEqual">
      <formula>0</formula>
    </cfRule>
  </conditionalFormatting>
  <pageMargins left="0.7" right="0.7" top="0.78740157499999996" bottom="0.78740157499999996" header="0.3" footer="0.3"/>
  <pageSetup paperSize="9" scale="42" orientation="landscape" r:id="rId1"/>
  <rowBreaks count="1" manualBreakCount="1">
    <brk id="36"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40"/>
  <sheetViews>
    <sheetView showGridLines="0" zoomScaleNormal="100" workbookViewId="0">
      <selection activeCell="F3" sqref="F3"/>
    </sheetView>
  </sheetViews>
  <sheetFormatPr baseColWidth="10" defaultColWidth="11" defaultRowHeight="14.25"/>
  <cols>
    <col min="1" max="1" width="3.75" style="341" customWidth="1"/>
    <col min="2" max="2" width="22.75" style="341" customWidth="1"/>
    <col min="3" max="3" width="11" style="341"/>
    <col min="4" max="4" width="13.375" style="341" customWidth="1"/>
    <col min="5" max="5" width="13" style="341" customWidth="1"/>
    <col min="6" max="6" width="11.125" style="341" customWidth="1"/>
    <col min="7" max="7" width="11" style="341"/>
    <col min="8" max="8" width="12.125" style="341" customWidth="1"/>
    <col min="9" max="16384" width="11" style="341"/>
  </cols>
  <sheetData>
    <row r="1" spans="1:11" s="336" customFormat="1" ht="15.75">
      <c r="A1" s="342"/>
      <c r="B1" s="345"/>
      <c r="C1" s="345"/>
      <c r="D1" s="345"/>
      <c r="E1" s="60"/>
      <c r="F1" s="63"/>
      <c r="G1" s="346"/>
      <c r="H1" s="59"/>
      <c r="I1" s="52"/>
      <c r="J1" s="51"/>
      <c r="K1" s="52"/>
    </row>
    <row r="2" spans="1:11" s="336" customFormat="1" ht="15.75">
      <c r="A2" s="342"/>
      <c r="B2" s="143" t="s">
        <v>232</v>
      </c>
      <c r="C2" s="175"/>
      <c r="D2" s="51"/>
      <c r="E2" s="52"/>
      <c r="F2" s="51"/>
      <c r="G2" s="134"/>
      <c r="H2" s="51"/>
      <c r="I2" s="52"/>
      <c r="J2" s="51"/>
      <c r="K2" s="52"/>
    </row>
    <row r="3" spans="1:11" s="336" customFormat="1" ht="15.75" customHeight="1">
      <c r="A3" s="342"/>
      <c r="B3" s="1020" t="s">
        <v>73</v>
      </c>
      <c r="C3" s="1021"/>
      <c r="D3" s="1021"/>
      <c r="E3" s="1021"/>
      <c r="F3" s="312" t="s">
        <v>119</v>
      </c>
      <c r="G3" s="134"/>
      <c r="H3" s="51"/>
      <c r="I3" s="339"/>
      <c r="J3" s="51"/>
      <c r="K3" s="52"/>
    </row>
    <row r="4" spans="1:11" s="336" customFormat="1" ht="15.75" customHeight="1">
      <c r="A4" s="342"/>
      <c r="B4" s="1020" t="s">
        <v>72</v>
      </c>
      <c r="C4" s="1021"/>
      <c r="D4" s="1021"/>
      <c r="E4" s="1021"/>
      <c r="F4" s="313" t="s">
        <v>119</v>
      </c>
      <c r="G4" s="134"/>
      <c r="H4" s="95"/>
      <c r="I4" s="52"/>
      <c r="J4" s="51"/>
      <c r="K4" s="52"/>
    </row>
    <row r="5" spans="1:11" s="336" customFormat="1" ht="15.75" customHeight="1">
      <c r="A5" s="342"/>
      <c r="B5" s="1020" t="s">
        <v>222</v>
      </c>
      <c r="C5" s="1021"/>
      <c r="D5" s="1021"/>
      <c r="E5" s="1021"/>
      <c r="F5" s="313" t="s">
        <v>119</v>
      </c>
      <c r="G5" s="134"/>
      <c r="H5" s="95"/>
      <c r="I5" s="52"/>
      <c r="J5" s="51"/>
      <c r="K5" s="52"/>
    </row>
    <row r="6" spans="1:11" s="336" customFormat="1" ht="17.25" customHeight="1">
      <c r="A6" s="342"/>
      <c r="B6" s="161"/>
      <c r="C6" s="95"/>
      <c r="D6" s="95"/>
      <c r="E6" s="95"/>
      <c r="F6" s="51"/>
      <c r="G6" s="134"/>
      <c r="H6" s="95"/>
      <c r="I6" s="52"/>
      <c r="J6" s="51"/>
      <c r="K6" s="52"/>
    </row>
    <row r="7" spans="1:11" s="336" customFormat="1" ht="38.25" customHeight="1">
      <c r="A7" s="337"/>
      <c r="B7" s="1022" t="s">
        <v>233</v>
      </c>
      <c r="C7" s="1023"/>
      <c r="D7" s="1023"/>
      <c r="E7" s="1024" t="s">
        <v>119</v>
      </c>
      <c r="F7" s="1025"/>
      <c r="G7" s="347"/>
      <c r="H7" s="337"/>
      <c r="I7" s="337"/>
      <c r="J7" s="337"/>
      <c r="K7" s="337"/>
    </row>
    <row r="8" spans="1:11" s="336" customFormat="1" ht="41.25" customHeight="1">
      <c r="A8" s="342"/>
      <c r="B8" s="175" t="s">
        <v>688</v>
      </c>
      <c r="C8" s="173"/>
      <c r="D8" s="173"/>
      <c r="E8" s="174"/>
      <c r="F8" s="51"/>
      <c r="G8" s="134"/>
      <c r="H8" s="51"/>
      <c r="I8" s="52"/>
      <c r="J8" s="51"/>
      <c r="K8" s="52"/>
    </row>
    <row r="9" spans="1:11" s="336" customFormat="1" ht="15.75">
      <c r="A9" s="342"/>
      <c r="B9" s="314"/>
      <c r="C9" s="315"/>
      <c r="D9" s="315"/>
      <c r="E9" s="56"/>
      <c r="F9" s="315"/>
      <c r="G9" s="316"/>
      <c r="H9" s="315"/>
      <c r="I9" s="52"/>
      <c r="J9" s="51"/>
      <c r="K9" s="52"/>
    </row>
    <row r="10" spans="1:11" s="336" customFormat="1" ht="15.75">
      <c r="A10" s="342"/>
      <c r="B10" s="314"/>
      <c r="C10" s="315"/>
      <c r="D10" s="315"/>
      <c r="E10" s="56"/>
      <c r="F10" s="315"/>
      <c r="G10" s="316"/>
      <c r="H10" s="315"/>
      <c r="I10" s="52"/>
      <c r="J10" s="51"/>
      <c r="K10" s="52"/>
    </row>
    <row r="11" spans="1:11" s="336" customFormat="1" ht="15.75">
      <c r="A11" s="342"/>
      <c r="B11" s="314"/>
      <c r="C11" s="315"/>
      <c r="D11" s="315"/>
      <c r="E11" s="56"/>
      <c r="F11" s="315"/>
      <c r="G11" s="316"/>
      <c r="H11" s="315"/>
      <c r="I11" s="52"/>
      <c r="J11" s="51"/>
      <c r="K11" s="52"/>
    </row>
    <row r="12" spans="1:11" s="336" customFormat="1" ht="15.75">
      <c r="A12" s="342"/>
      <c r="B12" s="314"/>
      <c r="C12" s="315"/>
      <c r="D12" s="315"/>
      <c r="E12" s="56"/>
      <c r="F12" s="315"/>
      <c r="G12" s="316"/>
      <c r="H12" s="315"/>
      <c r="I12" s="52"/>
      <c r="J12" s="51"/>
      <c r="K12" s="52"/>
    </row>
    <row r="13" spans="1:11" s="336" customFormat="1" ht="15.75">
      <c r="A13" s="342"/>
      <c r="B13" s="314"/>
      <c r="C13" s="315"/>
      <c r="D13" s="315"/>
      <c r="E13" s="56"/>
      <c r="F13" s="315"/>
      <c r="G13" s="316"/>
      <c r="H13" s="315"/>
      <c r="I13" s="52"/>
      <c r="J13" s="51"/>
      <c r="K13" s="52"/>
    </row>
    <row r="14" spans="1:11" s="336" customFormat="1" ht="15.75">
      <c r="A14" s="342"/>
      <c r="B14" s="314"/>
      <c r="C14" s="315"/>
      <c r="D14" s="315"/>
      <c r="E14" s="56"/>
      <c r="F14" s="315"/>
      <c r="G14" s="316"/>
      <c r="H14" s="315"/>
      <c r="I14" s="52"/>
      <c r="J14" s="51"/>
      <c r="K14" s="52"/>
    </row>
    <row r="15" spans="1:11" s="336" customFormat="1" ht="15.75">
      <c r="A15" s="342"/>
      <c r="B15" s="314"/>
      <c r="C15" s="315"/>
      <c r="D15" s="315"/>
      <c r="E15" s="56"/>
      <c r="F15" s="315"/>
      <c r="G15" s="316"/>
      <c r="H15" s="315"/>
      <c r="I15" s="339"/>
      <c r="J15" s="338"/>
      <c r="K15" s="339"/>
    </row>
    <row r="16" spans="1:11" s="336" customFormat="1" ht="15.75">
      <c r="A16" s="342"/>
      <c r="B16" s="318"/>
      <c r="C16" s="317"/>
      <c r="D16" s="317"/>
      <c r="E16" s="57"/>
      <c r="F16" s="317"/>
      <c r="G16" s="319"/>
      <c r="H16" s="317"/>
      <c r="I16" s="339"/>
      <c r="J16" s="338"/>
      <c r="K16" s="339"/>
    </row>
    <row r="17" spans="1:11" s="336" customFormat="1" ht="15.75">
      <c r="A17" s="342"/>
      <c r="B17" s="318"/>
      <c r="C17" s="317"/>
      <c r="D17" s="317"/>
      <c r="E17" s="57"/>
      <c r="F17" s="317"/>
      <c r="G17" s="319"/>
      <c r="H17" s="317"/>
      <c r="I17" s="339"/>
      <c r="J17" s="338"/>
      <c r="K17" s="339"/>
    </row>
    <row r="18" spans="1:11" s="336" customFormat="1" ht="15.75">
      <c r="A18" s="342"/>
      <c r="B18" s="318"/>
      <c r="C18" s="317"/>
      <c r="D18" s="317"/>
      <c r="E18" s="57"/>
      <c r="F18" s="317"/>
      <c r="G18" s="319"/>
      <c r="H18" s="317"/>
      <c r="I18" s="339"/>
      <c r="J18" s="338"/>
      <c r="K18" s="339"/>
    </row>
    <row r="19" spans="1:11" s="336" customFormat="1" ht="15.75">
      <c r="A19" s="342"/>
      <c r="B19" s="318"/>
      <c r="C19" s="317"/>
      <c r="D19" s="317"/>
      <c r="E19" s="57"/>
      <c r="F19" s="317"/>
      <c r="G19" s="319"/>
      <c r="H19" s="317"/>
      <c r="I19" s="339"/>
      <c r="J19" s="338"/>
      <c r="K19" s="339"/>
    </row>
    <row r="20" spans="1:11" s="336" customFormat="1" ht="15.75">
      <c r="A20" s="342"/>
      <c r="B20" s="318"/>
      <c r="C20" s="317"/>
      <c r="D20" s="317"/>
      <c r="E20" s="57"/>
      <c r="F20" s="317"/>
      <c r="G20" s="319"/>
      <c r="H20" s="317"/>
      <c r="I20" s="52"/>
      <c r="J20" s="51"/>
      <c r="K20" s="52"/>
    </row>
    <row r="21" spans="1:11" s="336" customFormat="1" ht="15.75">
      <c r="A21" s="342"/>
      <c r="B21" s="314"/>
      <c r="C21" s="315"/>
      <c r="D21" s="315"/>
      <c r="E21" s="56"/>
      <c r="F21" s="315"/>
      <c r="G21" s="316"/>
      <c r="H21" s="315"/>
      <c r="I21" s="52"/>
      <c r="J21" s="51"/>
      <c r="K21" s="52"/>
    </row>
    <row r="22" spans="1:11" s="336" customFormat="1" ht="13.5" customHeight="1">
      <c r="A22" s="342"/>
      <c r="B22" s="314"/>
      <c r="C22" s="315"/>
      <c r="D22" s="315"/>
      <c r="E22" s="56"/>
      <c r="F22" s="315"/>
      <c r="G22" s="316"/>
      <c r="H22" s="315"/>
      <c r="I22" s="52"/>
      <c r="J22" s="51"/>
      <c r="K22" s="52"/>
    </row>
    <row r="23" spans="1:11" s="336" customFormat="1" ht="13.5" customHeight="1">
      <c r="A23" s="342"/>
      <c r="B23" s="314"/>
      <c r="C23" s="315"/>
      <c r="D23" s="315"/>
      <c r="E23" s="56"/>
      <c r="F23" s="315"/>
      <c r="G23" s="316"/>
      <c r="H23" s="315"/>
      <c r="I23" s="339"/>
      <c r="J23" s="338"/>
      <c r="K23" s="339"/>
    </row>
    <row r="24" spans="1:11" s="336" customFormat="1" ht="13.5" customHeight="1">
      <c r="A24" s="342"/>
      <c r="B24" s="318"/>
      <c r="C24" s="317"/>
      <c r="D24" s="317"/>
      <c r="E24" s="57"/>
      <c r="F24" s="317"/>
      <c r="G24" s="319"/>
      <c r="H24" s="338"/>
      <c r="I24" s="339"/>
      <c r="J24" s="338"/>
      <c r="K24" s="339"/>
    </row>
    <row r="25" spans="1:11" s="336" customFormat="1" ht="13.5" customHeight="1">
      <c r="A25" s="342"/>
      <c r="B25" s="318"/>
      <c r="C25" s="317"/>
      <c r="D25" s="317"/>
      <c r="E25" s="57"/>
      <c r="F25" s="317"/>
      <c r="G25" s="319"/>
      <c r="H25" s="338"/>
      <c r="I25" s="339"/>
      <c r="J25" s="51"/>
      <c r="K25" s="339"/>
    </row>
    <row r="26" spans="1:11" s="336" customFormat="1" ht="13.5" customHeight="1">
      <c r="A26" s="342"/>
      <c r="B26" s="318"/>
      <c r="C26" s="317"/>
      <c r="D26" s="317"/>
      <c r="E26" s="57"/>
      <c r="F26" s="317"/>
      <c r="G26" s="319"/>
      <c r="H26" s="338"/>
      <c r="I26" s="339"/>
      <c r="J26" s="51"/>
      <c r="K26" s="339"/>
    </row>
    <row r="27" spans="1:11" s="336" customFormat="1" ht="13.5" customHeight="1">
      <c r="A27" s="342"/>
      <c r="B27" s="318"/>
      <c r="C27" s="317"/>
      <c r="D27" s="317"/>
      <c r="E27" s="57"/>
      <c r="F27" s="317"/>
      <c r="G27" s="319"/>
      <c r="H27" s="338"/>
      <c r="I27" s="339"/>
      <c r="J27" s="51"/>
      <c r="K27" s="339"/>
    </row>
    <row r="28" spans="1:11" s="336" customFormat="1" ht="13.5" customHeight="1">
      <c r="A28" s="342"/>
      <c r="B28" s="318"/>
      <c r="C28" s="317"/>
      <c r="D28" s="317"/>
      <c r="E28" s="57"/>
      <c r="F28" s="317"/>
      <c r="G28" s="319"/>
      <c r="H28" s="338"/>
      <c r="I28" s="339"/>
      <c r="J28" s="51"/>
      <c r="K28" s="339"/>
    </row>
    <row r="29" spans="1:11" s="336" customFormat="1" ht="13.5" customHeight="1">
      <c r="A29" s="342"/>
      <c r="B29" s="343"/>
      <c r="C29" s="338"/>
      <c r="D29" s="1017"/>
      <c r="E29" s="1017"/>
      <c r="F29" s="1017"/>
      <c r="G29" s="1018"/>
      <c r="H29" s="1018"/>
      <c r="I29" s="339"/>
      <c r="J29" s="51"/>
      <c r="K29" s="339"/>
    </row>
    <row r="30" spans="1:11" s="336" customFormat="1" ht="9.75" customHeight="1">
      <c r="A30" s="342"/>
      <c r="B30" s="343"/>
      <c r="C30" s="338"/>
      <c r="D30" s="338"/>
      <c r="E30" s="339"/>
      <c r="F30" s="348" t="s">
        <v>76</v>
      </c>
      <c r="G30" s="344"/>
      <c r="H30" s="338"/>
      <c r="I30" s="339"/>
      <c r="J30" s="51"/>
      <c r="K30" s="339"/>
    </row>
    <row r="31" spans="1:11" s="336" customFormat="1" ht="13.5" customHeight="1">
      <c r="A31" s="342"/>
      <c r="C31" s="338"/>
      <c r="D31" s="1017"/>
      <c r="E31" s="1017"/>
      <c r="F31" s="1017"/>
      <c r="G31" s="1018"/>
      <c r="H31" s="1018"/>
      <c r="I31" s="339"/>
      <c r="J31" s="51"/>
      <c r="K31" s="339"/>
    </row>
    <row r="32" spans="1:11" s="336" customFormat="1" ht="13.5" customHeight="1">
      <c r="A32" s="342"/>
      <c r="C32" s="51"/>
      <c r="D32" s="51"/>
      <c r="F32" s="348" t="s">
        <v>77</v>
      </c>
      <c r="G32" s="344"/>
      <c r="H32" s="339"/>
      <c r="I32" s="339"/>
      <c r="J32" s="51"/>
      <c r="K32" s="339"/>
    </row>
    <row r="33" spans="1:11" s="336" customFormat="1" ht="13.5" customHeight="1">
      <c r="A33" s="342"/>
      <c r="C33" s="51"/>
      <c r="D33" s="51"/>
      <c r="E33" s="1017"/>
      <c r="F33" s="1017"/>
      <c r="G33" s="1017"/>
      <c r="H33" s="52"/>
      <c r="I33" s="52"/>
      <c r="J33" s="338"/>
      <c r="K33" s="339"/>
    </row>
    <row r="34" spans="1:11" s="336" customFormat="1" ht="9" customHeight="1">
      <c r="A34" s="337"/>
      <c r="C34" s="338"/>
      <c r="D34" s="338"/>
      <c r="F34" s="348" t="s">
        <v>78</v>
      </c>
      <c r="G34" s="344"/>
      <c r="H34" s="338"/>
      <c r="I34" s="339"/>
      <c r="J34" s="338"/>
      <c r="K34" s="339"/>
    </row>
    <row r="35" spans="1:11" s="336" customFormat="1" ht="13.5" customHeight="1">
      <c r="A35" s="337"/>
      <c r="B35" s="1019"/>
      <c r="C35" s="1019"/>
      <c r="D35" s="337"/>
      <c r="E35" s="1017"/>
      <c r="F35" s="1017"/>
      <c r="G35" s="1017"/>
      <c r="H35" s="340"/>
      <c r="I35" s="339"/>
      <c r="J35" s="340"/>
      <c r="K35" s="339"/>
    </row>
    <row r="36" spans="1:11" s="336" customFormat="1" ht="15.75">
      <c r="A36" s="337"/>
      <c r="B36" s="1015" t="s">
        <v>80</v>
      </c>
      <c r="C36" s="1016"/>
      <c r="D36" s="337"/>
      <c r="E36" s="349"/>
      <c r="F36" s="348" t="s">
        <v>79</v>
      </c>
      <c r="G36" s="350"/>
      <c r="H36" s="351"/>
      <c r="I36" s="337"/>
      <c r="J36" s="337"/>
      <c r="K36" s="337"/>
    </row>
    <row r="37" spans="1:11" s="336" customFormat="1" ht="15.75">
      <c r="A37" s="337"/>
      <c r="B37" s="348"/>
      <c r="C37" s="337"/>
      <c r="D37" s="337"/>
      <c r="E37" s="349"/>
      <c r="F37" s="348"/>
      <c r="G37" s="350"/>
      <c r="H37" s="351"/>
      <c r="I37" s="337"/>
      <c r="J37" s="337"/>
      <c r="K37" s="337"/>
    </row>
    <row r="38" spans="1:11" s="336" customFormat="1" ht="15.75">
      <c r="G38" s="352"/>
    </row>
    <row r="39" spans="1:11" s="336" customFormat="1" ht="15.75">
      <c r="G39" s="352"/>
    </row>
    <row r="40" spans="1:11" s="336" customFormat="1" ht="15.75">
      <c r="G40" s="352"/>
    </row>
  </sheetData>
  <sheetProtection password="DC84" sheet="1" scenarios="1" insertRows="0"/>
  <mergeCells count="11">
    <mergeCell ref="B3:E3"/>
    <mergeCell ref="B4:E4"/>
    <mergeCell ref="B5:E5"/>
    <mergeCell ref="B7:D7"/>
    <mergeCell ref="E7:F7"/>
    <mergeCell ref="B36:C36"/>
    <mergeCell ref="D29:H29"/>
    <mergeCell ref="D31:H31"/>
    <mergeCell ref="E33:G33"/>
    <mergeCell ref="E35:G35"/>
    <mergeCell ref="B35:C35"/>
  </mergeCells>
  <conditionalFormatting sqref="E7">
    <cfRule type="containsText" dxfId="9" priority="8" operator="containsText" text="erheblich eingeschränkt">
      <formula>NOT(ISERROR(SEARCH("erheblich eingeschränkt",E7)))</formula>
    </cfRule>
    <cfRule type="containsText" dxfId="8" priority="10" operator="containsText" text="gefährdet">
      <formula>NOT(ISERROR(SEARCH("gefährdet",E7)))</formula>
    </cfRule>
    <cfRule type="containsText" dxfId="7" priority="11" operator="containsText" text="angespannt">
      <formula>NOT(ISERROR(SEARCH("angespannt",E7)))</formula>
    </cfRule>
    <cfRule type="containsText" dxfId="6" priority="12" operator="containsText" text="noch gesichert">
      <formula>NOT(ISERROR(SEARCH("noch gesichert",E7)))</formula>
    </cfRule>
    <cfRule type="containsText" dxfId="5" priority="13" operator="containsText" text="gesichert">
      <formula>NOT(ISERROR(SEARCH("gesichert",E7)))</formula>
    </cfRule>
  </conditionalFormatting>
  <conditionalFormatting sqref="E7:F7">
    <cfRule type="containsText" dxfId="4" priority="7" operator="containsText" text="aktuell nicht gegeben">
      <formula>NOT(ISERROR(SEARCH("aktuell nicht gegeben",E7)))</formula>
    </cfRule>
  </conditionalFormatting>
  <conditionalFormatting sqref="F3">
    <cfRule type="containsText" dxfId="3" priority="4" operator="containsText" text="nein">
      <formula>NOT(ISERROR(SEARCH("nein",F3)))</formula>
    </cfRule>
    <cfRule type="containsText" priority="5" operator="containsText" text="n">
      <formula>NOT(ISERROR(SEARCH("n",F3)))</formula>
    </cfRule>
    <cfRule type="containsText" dxfId="2" priority="6" operator="containsText" text="ja">
      <formula>NOT(ISERROR(SEARCH("ja",F3)))</formula>
    </cfRule>
  </conditionalFormatting>
  <conditionalFormatting sqref="F4:F5">
    <cfRule type="containsText" dxfId="1" priority="1" operator="containsText" text="nein">
      <formula>NOT(ISERROR(SEARCH("nein",F4)))</formula>
    </cfRule>
    <cfRule type="containsText" priority="2" operator="containsText" text="n">
      <formula>NOT(ISERROR(SEARCH("n",F4)))</formula>
    </cfRule>
    <cfRule type="containsText" dxfId="0" priority="3" operator="containsText" text="ja">
      <formula>NOT(ISERROR(SEARCH("ja",F4)))</formula>
    </cfRule>
  </conditionalFormatting>
  <dataValidations count="2">
    <dataValidation type="list" allowBlank="1" showInputMessage="1" showErrorMessage="1" sqref="F3:F5">
      <formula1>"Bitte auswählen,ja, nein"</formula1>
    </dataValidation>
    <dataValidation type="list" allowBlank="1" showInputMessage="1" showErrorMessage="1" sqref="E7">
      <formula1>"Bitte auswählen, gesichert,noch gesichert,angespannt,gefährdet,erheblich eingeschränkt,aktuell nicht gegeben"</formula1>
    </dataValidation>
  </dataValidations>
  <pageMargins left="0.7" right="0.7" top="0.78740157499999996" bottom="0.78740157499999996" header="0.3" footer="0.3"/>
  <pageSetup paperSize="9" scale="69" orientation="landscape" r:id="rId1"/>
  <drawing r:id="rId2"/>
  <legacyDrawing r:id="rId3"/>
  <oleObjects>
    <mc:AlternateContent xmlns:mc="http://schemas.openxmlformats.org/markup-compatibility/2006">
      <mc:Choice Requires="x14">
        <oleObject progId="Word.Document.12" shapeId="23565" r:id="rId4">
          <objectPr defaultSize="0" autoPict="0" r:id="rId5">
            <anchor moveWithCells="1">
              <from>
                <xdr:col>1</xdr:col>
                <xdr:colOff>9525</xdr:colOff>
                <xdr:row>7</xdr:row>
                <xdr:rowOff>438150</xdr:rowOff>
              </from>
              <to>
                <xdr:col>7</xdr:col>
                <xdr:colOff>38100</xdr:colOff>
                <xdr:row>26</xdr:row>
                <xdr:rowOff>104775</xdr:rowOff>
              </to>
            </anchor>
          </objectPr>
        </oleObject>
      </mc:Choice>
      <mc:Fallback>
        <oleObject progId="Word.Document.12" shapeId="2356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N68"/>
  <sheetViews>
    <sheetView showGridLines="0" tabSelected="1" zoomScale="85" zoomScaleNormal="85" zoomScalePageLayoutView="25" workbookViewId="0">
      <selection activeCell="G3" sqref="G3:H3"/>
    </sheetView>
  </sheetViews>
  <sheetFormatPr baseColWidth="10" defaultRowHeight="14.25"/>
  <cols>
    <col min="1" max="1" width="2.75" customWidth="1"/>
    <col min="2" max="2" width="17.625" customWidth="1"/>
    <col min="3" max="3" width="14.625" customWidth="1"/>
    <col min="4" max="4" width="7" customWidth="1"/>
    <col min="5" max="5" width="14.25" customWidth="1"/>
    <col min="6" max="6" width="7.25" customWidth="1"/>
    <col min="7" max="7" width="15.375" customWidth="1"/>
    <col min="8" max="8" width="2.5" customWidth="1"/>
    <col min="10" max="10" width="20.375" hidden="1" customWidth="1"/>
    <col min="11" max="11" width="9.5" hidden="1" customWidth="1"/>
    <col min="12" max="12" width="11" customWidth="1"/>
  </cols>
  <sheetData>
    <row r="1" spans="1:11" ht="15.75">
      <c r="A1" s="866" t="s">
        <v>241</v>
      </c>
      <c r="B1" s="866"/>
      <c r="C1" s="866"/>
      <c r="D1" s="866"/>
      <c r="E1" s="866"/>
      <c r="F1" s="866"/>
      <c r="G1" s="866"/>
      <c r="H1" s="16"/>
      <c r="I1" s="16"/>
      <c r="J1" s="16"/>
      <c r="K1" s="16" t="s">
        <v>122</v>
      </c>
    </row>
    <row r="2" spans="1:11" ht="15">
      <c r="B2" s="15"/>
      <c r="C2" s="16"/>
      <c r="D2" s="16"/>
      <c r="E2" s="16"/>
      <c r="F2" s="16"/>
      <c r="G2" s="296" t="s">
        <v>686</v>
      </c>
      <c r="H2" s="296"/>
      <c r="I2" s="16"/>
      <c r="J2" s="16"/>
      <c r="K2" s="16" t="s">
        <v>123</v>
      </c>
    </row>
    <row r="3" spans="1:11" ht="15">
      <c r="B3" s="16" t="s">
        <v>0</v>
      </c>
      <c r="C3" s="369" t="str">
        <f>IF(G3&gt;0,VLOOKUP(G3,Kommunen!A:F,4,G10),"")</f>
        <v/>
      </c>
      <c r="D3" s="81"/>
      <c r="E3" s="873" t="s">
        <v>691</v>
      </c>
      <c r="F3" s="873"/>
      <c r="G3" s="874"/>
      <c r="H3" s="875"/>
      <c r="K3" t="s">
        <v>124</v>
      </c>
    </row>
    <row r="4" spans="1:11" ht="6" customHeight="1">
      <c r="B4" s="16"/>
      <c r="C4" s="16"/>
      <c r="D4" s="73"/>
      <c r="E4" s="234"/>
      <c r="F4" s="234"/>
      <c r="G4" s="87"/>
    </row>
    <row r="5" spans="1:11" ht="15">
      <c r="B5" s="80" t="s">
        <v>56</v>
      </c>
      <c r="C5" s="867" t="str">
        <f>IF(G3&gt;0,VLOOKUP(G3,Kommunen!A:F,5,G10),"")</f>
        <v/>
      </c>
      <c r="D5" s="868"/>
      <c r="E5" s="873" t="s">
        <v>247</v>
      </c>
      <c r="F5" s="873"/>
      <c r="G5" s="871" t="str">
        <f>IF(G3&gt;0,VLOOKUP(G3,Kommunen!A:F,6,G10),"")</f>
        <v/>
      </c>
      <c r="H5" s="872"/>
      <c r="I5" s="73"/>
    </row>
    <row r="6" spans="1:11" ht="6" customHeight="1">
      <c r="B6" s="80"/>
      <c r="C6" s="88"/>
      <c r="D6" s="88"/>
      <c r="E6" s="234"/>
      <c r="F6" s="234"/>
      <c r="G6" s="87"/>
      <c r="H6" s="73"/>
      <c r="I6" s="73"/>
    </row>
    <row r="7" spans="1:11" ht="15">
      <c r="B7" s="81" t="s">
        <v>1</v>
      </c>
      <c r="C7" s="867" t="str">
        <f>IF(G3&gt;0,VLOOKUP(G3,Kommunen!A:F,3,G10),"")</f>
        <v/>
      </c>
      <c r="D7" s="868"/>
      <c r="E7" s="234" t="s">
        <v>242</v>
      </c>
      <c r="F7" s="234"/>
      <c r="G7" s="878"/>
      <c r="H7" s="878"/>
      <c r="I7" s="73"/>
    </row>
    <row r="8" spans="1:11" ht="9" customHeight="1">
      <c r="B8" s="16"/>
      <c r="C8" s="16"/>
      <c r="E8" s="73"/>
      <c r="F8" s="73"/>
      <c r="G8" s="87"/>
      <c r="H8" s="73"/>
      <c r="I8" s="73"/>
    </row>
    <row r="9" spans="1:11" ht="15">
      <c r="B9" t="s">
        <v>64</v>
      </c>
      <c r="E9" s="89"/>
      <c r="F9" s="73"/>
      <c r="G9" s="98"/>
      <c r="H9" s="90"/>
      <c r="I9" s="73"/>
    </row>
    <row r="10" spans="1:11">
      <c r="B10" s="99" t="str">
        <f>IF(G7="","",CONCATENATE("31.12. ",G14))</f>
        <v/>
      </c>
      <c r="C10" s="188"/>
      <c r="E10" s="81"/>
      <c r="F10" s="73"/>
      <c r="G10" s="374"/>
      <c r="H10" s="16"/>
      <c r="I10" s="16"/>
      <c r="J10" s="16"/>
      <c r="K10" s="16"/>
    </row>
    <row r="11" spans="1:11" ht="6" customHeight="1">
      <c r="B11" s="99" t="str">
        <f t="shared" ref="B11" si="0">IF(G8="","",CONCATENATE("31.12. ",G15))</f>
        <v/>
      </c>
      <c r="C11" s="91"/>
      <c r="E11" s="81"/>
      <c r="F11" s="73"/>
      <c r="G11" s="73"/>
      <c r="H11" s="16"/>
      <c r="I11" s="16"/>
      <c r="J11" s="16"/>
      <c r="K11" s="16"/>
    </row>
    <row r="12" spans="1:11" ht="14.25" customHeight="1">
      <c r="B12" s="99" t="str">
        <f>IF(G7="","",CONCATENATE("31.12. ",G14-1))</f>
        <v/>
      </c>
      <c r="C12" s="188"/>
      <c r="E12" s="73"/>
      <c r="F12" s="73"/>
      <c r="G12" s="16"/>
      <c r="H12" s="16"/>
      <c r="I12" s="73"/>
    </row>
    <row r="13" spans="1:11" ht="14.25" customHeight="1">
      <c r="B13" s="16"/>
      <c r="C13" s="16"/>
      <c r="D13" s="16"/>
      <c r="E13" s="83" t="s">
        <v>12</v>
      </c>
      <c r="F13" s="16"/>
      <c r="G13" s="82" t="s">
        <v>82</v>
      </c>
      <c r="H13" s="16"/>
      <c r="I13" s="16"/>
      <c r="J13" s="16"/>
      <c r="K13" s="16"/>
    </row>
    <row r="14" spans="1:11">
      <c r="B14" s="16"/>
      <c r="C14" s="16"/>
      <c r="D14" s="16"/>
      <c r="E14" s="368">
        <f>G7</f>
        <v>0</v>
      </c>
      <c r="F14" s="16"/>
      <c r="G14" s="148" t="str">
        <f>IF(G7="","",E14-2)</f>
        <v/>
      </c>
      <c r="H14" s="16"/>
      <c r="I14" s="16"/>
      <c r="J14" s="16"/>
      <c r="K14" s="16"/>
    </row>
    <row r="15" spans="1:11">
      <c r="B15" s="16"/>
      <c r="C15" s="140"/>
      <c r="D15" s="16"/>
      <c r="E15" s="48" t="s">
        <v>173</v>
      </c>
      <c r="F15" s="45"/>
      <c r="G15" s="48" t="s">
        <v>173</v>
      </c>
      <c r="H15" s="16"/>
      <c r="I15" s="16"/>
      <c r="J15" s="16"/>
      <c r="K15" s="16"/>
    </row>
    <row r="16" spans="1:11" ht="15">
      <c r="B16" s="104" t="s">
        <v>2</v>
      </c>
      <c r="C16" s="16"/>
      <c r="D16" s="16"/>
      <c r="E16" s="16"/>
      <c r="F16" s="16"/>
      <c r="G16" s="16"/>
      <c r="H16" s="16"/>
      <c r="I16" s="16"/>
      <c r="J16" s="16"/>
      <c r="K16" s="16"/>
    </row>
    <row r="17" spans="2:9" ht="15">
      <c r="B17" s="102" t="s">
        <v>3</v>
      </c>
      <c r="C17" s="16"/>
      <c r="H17" s="73"/>
      <c r="I17" s="73"/>
    </row>
    <row r="18" spans="2:9">
      <c r="B18" s="16"/>
      <c r="C18" s="16" t="s">
        <v>4</v>
      </c>
      <c r="D18" s="16"/>
      <c r="E18" s="355">
        <f>Ergebnishaushalt!G15+Ergebnishaushalt!G26</f>
        <v>0</v>
      </c>
      <c r="F18" s="229"/>
      <c r="G18" s="355">
        <f>Ergebnishaushalt!E15+Ergebnishaushalt!E26</f>
        <v>0</v>
      </c>
      <c r="H18" s="73"/>
      <c r="I18" s="73"/>
    </row>
    <row r="19" spans="2:9">
      <c r="B19" s="16"/>
      <c r="C19" s="16" t="s">
        <v>5</v>
      </c>
      <c r="D19" s="16"/>
      <c r="E19" s="355">
        <f>Ergebnishaushalt!G24+Ergebnishaushalt!G27</f>
        <v>0</v>
      </c>
      <c r="F19" s="229"/>
      <c r="G19" s="355">
        <f>Ergebnishaushalt!E24+Ergebnishaushalt!E27</f>
        <v>0</v>
      </c>
      <c r="H19" s="92"/>
      <c r="I19" s="73"/>
    </row>
    <row r="20" spans="2:9">
      <c r="B20" s="16"/>
      <c r="C20" s="47" t="s">
        <v>55</v>
      </c>
      <c r="D20" s="16"/>
      <c r="E20" s="360">
        <f>E18-E19</f>
        <v>0</v>
      </c>
      <c r="F20" s="230"/>
      <c r="G20" s="361">
        <f>G18-G19</f>
        <v>0</v>
      </c>
      <c r="H20" s="92"/>
      <c r="I20" s="73"/>
    </row>
    <row r="21" spans="2:9">
      <c r="B21" s="16"/>
      <c r="C21" s="16"/>
      <c r="D21" s="16"/>
      <c r="E21" s="231"/>
      <c r="F21" s="231"/>
      <c r="G21" s="231"/>
      <c r="H21" s="16"/>
      <c r="I21" s="73"/>
    </row>
    <row r="22" spans="2:9" ht="15">
      <c r="B22" s="102" t="s">
        <v>6</v>
      </c>
      <c r="C22" s="16"/>
      <c r="E22" s="231"/>
      <c r="F22" s="232"/>
      <c r="G22" s="232"/>
      <c r="H22" s="73"/>
      <c r="I22" s="73"/>
    </row>
    <row r="23" spans="2:9">
      <c r="B23" s="16"/>
      <c r="C23" s="16" t="s">
        <v>4</v>
      </c>
      <c r="E23" s="355">
        <f>Ergebnishaushalt!G32</f>
        <v>0</v>
      </c>
      <c r="F23" s="231"/>
      <c r="G23" s="355">
        <f>Ergebnishaushalt!E32</f>
        <v>0</v>
      </c>
      <c r="H23" s="73"/>
      <c r="I23" s="73"/>
    </row>
    <row r="24" spans="2:9">
      <c r="B24" s="16"/>
      <c r="C24" s="16" t="s">
        <v>5</v>
      </c>
      <c r="E24" s="355">
        <f>Ergebnishaushalt!G33</f>
        <v>0</v>
      </c>
      <c r="F24" s="231"/>
      <c r="G24" s="355">
        <f>Ergebnishaushalt!E33</f>
        <v>0</v>
      </c>
      <c r="H24" s="73"/>
      <c r="I24" s="73"/>
    </row>
    <row r="25" spans="2:9">
      <c r="B25" s="16"/>
      <c r="C25" s="47" t="s">
        <v>55</v>
      </c>
      <c r="D25" s="16"/>
      <c r="E25" s="355">
        <f>E23-E24</f>
        <v>0</v>
      </c>
      <c r="F25" s="230"/>
      <c r="G25" s="355">
        <f>G23-G24</f>
        <v>0</v>
      </c>
      <c r="H25" s="73"/>
      <c r="I25" s="73"/>
    </row>
    <row r="26" spans="2:9">
      <c r="B26" s="17"/>
      <c r="C26" s="16"/>
      <c r="E26" s="233"/>
      <c r="F26" s="231"/>
      <c r="G26" s="233"/>
      <c r="H26" s="73"/>
      <c r="I26" s="73"/>
    </row>
    <row r="27" spans="2:9" ht="29.25" customHeight="1">
      <c r="B27" s="17"/>
      <c r="C27" s="882" t="s">
        <v>81</v>
      </c>
      <c r="D27" s="882"/>
      <c r="E27" s="362">
        <f>E18-E19+E23-E24</f>
        <v>0</v>
      </c>
      <c r="F27" s="229"/>
      <c r="G27" s="362">
        <f>G18-G19+G23-G24</f>
        <v>0</v>
      </c>
      <c r="H27" s="73"/>
      <c r="I27" s="73"/>
    </row>
    <row r="28" spans="2:9" ht="15" customHeight="1">
      <c r="B28" s="17"/>
      <c r="C28" s="16"/>
      <c r="E28" s="39"/>
      <c r="F28" s="39"/>
      <c r="G28" s="39"/>
      <c r="H28" s="73"/>
      <c r="I28" s="73"/>
    </row>
    <row r="29" spans="2:9">
      <c r="E29" s="38"/>
      <c r="F29" s="38"/>
      <c r="G29" s="38"/>
      <c r="H29" s="73"/>
      <c r="I29" s="73"/>
    </row>
    <row r="30" spans="2:9" ht="15">
      <c r="B30" s="103" t="s">
        <v>7</v>
      </c>
      <c r="E30" s="38"/>
      <c r="F30" s="38"/>
      <c r="G30" s="38"/>
      <c r="H30" s="73"/>
      <c r="I30" s="73"/>
    </row>
    <row r="31" spans="2:9" ht="15">
      <c r="B31" s="146" t="s">
        <v>108</v>
      </c>
      <c r="E31" s="38"/>
      <c r="F31" s="38"/>
      <c r="G31" s="38"/>
      <c r="H31" s="73"/>
      <c r="I31" s="73"/>
    </row>
    <row r="32" spans="2:9" ht="24.75" customHeight="1">
      <c r="B32" s="869" t="s">
        <v>105</v>
      </c>
      <c r="C32" s="870"/>
      <c r="D32" s="69" t="s">
        <v>15</v>
      </c>
      <c r="E32" s="356">
        <f>Finanzhaushalt!G6</f>
        <v>0</v>
      </c>
      <c r="F32" s="165"/>
      <c r="G32" s="356">
        <f>Finanzhaushalt!E6</f>
        <v>0</v>
      </c>
      <c r="H32" s="73"/>
      <c r="I32" s="73"/>
    </row>
    <row r="33" spans="2:14" ht="24.75" customHeight="1">
      <c r="B33" s="869" t="s">
        <v>99</v>
      </c>
      <c r="C33" s="870"/>
      <c r="D33" s="69" t="s">
        <v>17</v>
      </c>
      <c r="E33" s="356">
        <f>Finanzhaushalt!G7</f>
        <v>0</v>
      </c>
      <c r="F33" s="165"/>
      <c r="G33" s="356">
        <f>Finanzhaushalt!E7</f>
        <v>0</v>
      </c>
      <c r="H33" s="73"/>
      <c r="I33" s="73"/>
      <c r="N33" s="291"/>
    </row>
    <row r="34" spans="2:14" s="225" customFormat="1" ht="24.75" customHeight="1">
      <c r="B34" s="880" t="s">
        <v>55</v>
      </c>
      <c r="C34" s="880"/>
      <c r="D34" s="880"/>
      <c r="E34" s="356">
        <f>E32-E33</f>
        <v>0</v>
      </c>
      <c r="F34" s="227"/>
      <c r="G34" s="356">
        <f>G32-G33</f>
        <v>0</v>
      </c>
      <c r="H34" s="110"/>
      <c r="I34" s="110"/>
    </row>
    <row r="35" spans="2:14" ht="7.5" customHeight="1">
      <c r="B35" s="101"/>
      <c r="C35" s="101"/>
      <c r="D35" s="101"/>
      <c r="E35" s="243"/>
      <c r="F35" s="40"/>
      <c r="G35" s="240"/>
      <c r="H35" s="73"/>
      <c r="I35" s="73"/>
    </row>
    <row r="36" spans="2:14" ht="15">
      <c r="B36" s="146" t="s">
        <v>109</v>
      </c>
      <c r="E36" s="244"/>
      <c r="F36" s="40"/>
      <c r="G36" s="241"/>
      <c r="H36" s="73"/>
      <c r="I36" s="73"/>
    </row>
    <row r="37" spans="2:14" ht="15" customHeight="1">
      <c r="B37" s="2" t="s">
        <v>8</v>
      </c>
      <c r="D37" s="69" t="s">
        <v>15</v>
      </c>
      <c r="E37" s="239" t="str">
        <f>Finanzhaushalt!G18</f>
        <v/>
      </c>
      <c r="F37" s="68" t="s">
        <v>15</v>
      </c>
      <c r="G37" s="242" t="str">
        <f>Finanzhaushalt!E18</f>
        <v/>
      </c>
      <c r="H37" s="73"/>
      <c r="I37" s="73"/>
    </row>
    <row r="38" spans="2:14" ht="15">
      <c r="B38" s="2" t="s">
        <v>9</v>
      </c>
      <c r="D38" s="69" t="s">
        <v>17</v>
      </c>
      <c r="E38" s="356">
        <f>Finanzhaushalt!G24</f>
        <v>0</v>
      </c>
      <c r="F38" s="68" t="s">
        <v>17</v>
      </c>
      <c r="G38" s="356">
        <f>Finanzhaushalt!E24</f>
        <v>0</v>
      </c>
      <c r="H38" s="73"/>
      <c r="I38" s="73"/>
    </row>
    <row r="39" spans="2:14" ht="15">
      <c r="B39" s="2"/>
      <c r="C39" s="47" t="s">
        <v>55</v>
      </c>
      <c r="D39" s="16"/>
      <c r="E39" s="363" t="str">
        <f>IF(Finanzhaushalt!G25="","",Finanzhaushalt!G25)</f>
        <v/>
      </c>
      <c r="F39" s="43"/>
      <c r="G39" s="363" t="str">
        <f>IF(Finanzhaushalt!E25="","",Finanzhaushalt!E25)</f>
        <v/>
      </c>
      <c r="H39" s="73"/>
      <c r="I39" s="73"/>
      <c r="L39" s="245"/>
      <c r="M39" s="245"/>
    </row>
    <row r="40" spans="2:14" ht="15" customHeight="1">
      <c r="B40" s="2"/>
      <c r="E40" s="41"/>
      <c r="F40" s="40"/>
      <c r="G40" s="72"/>
      <c r="H40" s="73"/>
      <c r="I40" s="73"/>
    </row>
    <row r="41" spans="2:14" ht="15" customHeight="1">
      <c r="B41" s="146" t="s">
        <v>110</v>
      </c>
      <c r="E41" s="41"/>
      <c r="F41" s="40"/>
      <c r="G41" s="72"/>
      <c r="H41" s="73"/>
      <c r="I41" s="73"/>
    </row>
    <row r="42" spans="2:14" ht="15" customHeight="1">
      <c r="B42" s="2" t="s">
        <v>11</v>
      </c>
      <c r="D42" s="69" t="s">
        <v>15</v>
      </c>
      <c r="E42" s="356">
        <f>Finanzhaushalt!G30</f>
        <v>0</v>
      </c>
      <c r="F42" s="69" t="s">
        <v>15</v>
      </c>
      <c r="G42" s="356">
        <f>Finanzhaushalt!E30</f>
        <v>0</v>
      </c>
    </row>
    <row r="43" spans="2:14" ht="15">
      <c r="B43" s="2" t="s">
        <v>10</v>
      </c>
      <c r="D43" s="69" t="s">
        <v>17</v>
      </c>
      <c r="E43" s="356">
        <f>Finanzhaushalt!G32</f>
        <v>0</v>
      </c>
      <c r="F43" s="69" t="s">
        <v>17</v>
      </c>
      <c r="G43" s="356">
        <f>Finanzhaushalt!E32</f>
        <v>0</v>
      </c>
    </row>
    <row r="44" spans="2:14" ht="15">
      <c r="B44" s="2"/>
      <c r="C44" s="47" t="s">
        <v>55</v>
      </c>
      <c r="D44" s="16"/>
      <c r="E44" s="364">
        <f>E42-E43</f>
        <v>0</v>
      </c>
      <c r="F44" s="43"/>
      <c r="G44" s="364">
        <f>G42-G43</f>
        <v>0</v>
      </c>
    </row>
    <row r="45" spans="2:14" ht="9.75" customHeight="1">
      <c r="B45" s="2"/>
      <c r="E45" s="365"/>
      <c r="F45" s="17"/>
      <c r="G45" s="367"/>
    </row>
    <row r="46" spans="2:14" ht="27" customHeight="1">
      <c r="B46" s="881" t="s">
        <v>57</v>
      </c>
      <c r="C46" s="881"/>
      <c r="E46" s="366">
        <f>SUM(E34,E39,E44)</f>
        <v>0</v>
      </c>
      <c r="F46" s="235"/>
      <c r="G46" s="366">
        <f>SUM(G34,G39,G44)</f>
        <v>0</v>
      </c>
    </row>
    <row r="47" spans="2:14">
      <c r="E47" s="236"/>
      <c r="F47" s="236"/>
      <c r="G47" s="237"/>
    </row>
    <row r="48" spans="2:14" ht="29.25" customHeight="1">
      <c r="B48" s="879" t="s">
        <v>98</v>
      </c>
      <c r="C48" s="879"/>
      <c r="D48" s="17"/>
      <c r="E48" s="238" t="str">
        <f>Finanzhaushalt!G46</f>
        <v/>
      </c>
      <c r="F48" s="235"/>
      <c r="G48" s="238" t="str">
        <f>Finanzhaushalt!E46</f>
        <v/>
      </c>
    </row>
    <row r="49" spans="2:11" ht="23.25" customHeight="1">
      <c r="B49" s="226"/>
      <c r="C49" s="226"/>
      <c r="D49" s="17"/>
      <c r="E49" s="228"/>
      <c r="F49" s="44"/>
      <c r="G49" s="228"/>
    </row>
    <row r="50" spans="2:11" ht="17.25" customHeight="1">
      <c r="B50" s="226"/>
      <c r="C50" s="226"/>
      <c r="D50" s="17"/>
      <c r="E50" s="83" t="s">
        <v>12</v>
      </c>
      <c r="F50" s="44"/>
      <c r="G50" s="228"/>
    </row>
    <row r="51" spans="2:11" ht="13.5" customHeight="1">
      <c r="B51" s="162"/>
      <c r="C51" s="162"/>
      <c r="D51" s="144"/>
      <c r="E51" s="279" t="str">
        <f>IF(E14&gt;0,E14,"")</f>
        <v/>
      </c>
      <c r="F51" s="145"/>
      <c r="G51" s="167"/>
    </row>
    <row r="52" spans="2:11" s="183" customFormat="1" ht="15">
      <c r="B52" s="256" t="str">
        <f>IF(SUM(E56)&lt;0,"Nachrichtlich",IF(SUM(E56)&gt;0,"Nachrichtlich",""))</f>
        <v/>
      </c>
      <c r="C52" s="255"/>
      <c r="D52" s="185"/>
      <c r="E52" s="48" t="s">
        <v>173</v>
      </c>
      <c r="F52" s="187"/>
      <c r="G52" s="186"/>
    </row>
    <row r="53" spans="2:11" s="183" customFormat="1" ht="16.5" customHeight="1">
      <c r="B53" s="257" t="str">
        <f>IF(SUM(E54,E55)&lt;0,"Rechnerische Entschuldung",IF(SUM(E54,E55)&gt;0,"Rechnersiche Neuverschuldung",""))</f>
        <v/>
      </c>
      <c r="C53" s="185"/>
      <c r="D53" s="185"/>
      <c r="F53" s="185"/>
      <c r="G53" s="185"/>
    </row>
    <row r="54" spans="2:11" s="183" customFormat="1" ht="20.25" customHeight="1">
      <c r="B54" s="258" t="str">
        <f>IF(SUM(E54)&lt;0,"Kernhaushalt",IF(SUM(E54)&gt;0,"Kernhaushalt",""))</f>
        <v/>
      </c>
      <c r="C54" s="213"/>
      <c r="D54" s="185"/>
      <c r="E54" s="681" t="str">
        <f>IF(AND(ISBLANK('Verbindlichkeiten '!F11),ISBLANK(Finanzhaushalt!G33),ISBLANK('Verbindlichkeiten '!F16)),"",'Verbindlichkeiten '!F11-Finanzhaushalt!G33-'Verbindlichkeiten '!F16+'Verbindlichkeiten '!F25-'Verbindlichkeiten '!F4)</f>
        <v/>
      </c>
      <c r="F54" s="16"/>
      <c r="G54" s="357"/>
    </row>
    <row r="55" spans="2:11" s="183" customFormat="1" ht="27" customHeight="1">
      <c r="B55" s="876" t="str">
        <f>IF(SUM(E55)&lt;0,"Eigenbetriebe und Anstalten des öffentlichen Rechts ",IF(SUM(E55)&gt;0,"Eigenbetriebe und Anstalten des öffentlichen Rechts ",""))</f>
        <v/>
      </c>
      <c r="C55" s="877"/>
      <c r="D55" s="185"/>
      <c r="E55" s="683" t="str">
        <f>IF(AND(ISBLANK('Verbindlichkeiten '!F12),ISBLANK('Verbindlichkeiten '!F15),ISBLANK('Verbindlichkeiten '!F17)),"",'Verbindlichkeiten '!F12-'Verbindlichkeiten '!F15-'Verbindlichkeiten '!F17+'Verbindlichkeiten '!F26-'Verbindlichkeiten '!F6)</f>
        <v/>
      </c>
      <c r="F55" s="16"/>
      <c r="G55" s="185"/>
    </row>
    <row r="56" spans="2:11" s="183" customFormat="1" ht="21" customHeight="1">
      <c r="B56" s="876" t="str">
        <f>IF(SUM(E56)&lt;0,"Insgesamt",IF(SUM(E56)&gt;0,"Insgesamt",""))</f>
        <v/>
      </c>
      <c r="C56" s="877"/>
      <c r="D56" s="185"/>
      <c r="E56" s="682" t="str">
        <f>IF(AND(ISBLANK('Verbindlichkeiten '!F11),ISBLANK(Finanzhaushalt!G33),ISBLANK('Verbindlichkeiten '!F16),ISBLANK('Verbindlichkeiten '!F12),ISBLANK('Verbindlichkeiten '!F15),ISBLANK('Verbindlichkeiten '!F17)),"",(SUM(E54:E55)))</f>
        <v/>
      </c>
      <c r="F56" s="16"/>
      <c r="G56" s="185"/>
    </row>
    <row r="57" spans="2:11" s="183" customFormat="1" ht="18" customHeight="1">
      <c r="B57" s="189"/>
      <c r="C57" s="185"/>
      <c r="D57" s="185"/>
      <c r="E57" s="83"/>
      <c r="F57" s="16"/>
      <c r="G57" s="185"/>
    </row>
    <row r="58" spans="2:11" s="183" customFormat="1" ht="13.5" customHeight="1">
      <c r="B58" s="189"/>
      <c r="C58" s="185"/>
      <c r="D58" s="185"/>
      <c r="E58" s="83"/>
      <c r="F58" s="45"/>
      <c r="G58" s="48"/>
    </row>
    <row r="59" spans="2:11" s="169" customFormat="1" ht="18">
      <c r="B59" s="170"/>
      <c r="E59" s="359"/>
      <c r="G59" s="358"/>
      <c r="I59" s="183"/>
      <c r="J59" s="172"/>
      <c r="K59" s="171"/>
    </row>
    <row r="60" spans="2:11">
      <c r="I60" s="183"/>
      <c r="J60" s="139" t="s">
        <v>159</v>
      </c>
      <c r="K60" s="138" t="s">
        <v>122</v>
      </c>
    </row>
    <row r="61" spans="2:11">
      <c r="I61" s="183"/>
      <c r="J61" s="139" t="s">
        <v>166</v>
      </c>
      <c r="K61" s="138" t="s">
        <v>122</v>
      </c>
    </row>
    <row r="62" spans="2:11">
      <c r="J62" s="139" t="s">
        <v>169</v>
      </c>
      <c r="K62" s="138" t="s">
        <v>124</v>
      </c>
    </row>
    <row r="63" spans="2:11">
      <c r="J63" s="139"/>
      <c r="K63" s="138"/>
    </row>
    <row r="64" spans="2:11">
      <c r="J64" s="139"/>
      <c r="K64" s="138"/>
    </row>
    <row r="65" spans="10:11">
      <c r="J65" s="139"/>
      <c r="K65" s="138"/>
    </row>
    <row r="66" spans="10:11">
      <c r="J66" s="139"/>
      <c r="K66" s="138"/>
    </row>
    <row r="67" spans="10:11">
      <c r="J67" s="139"/>
      <c r="K67" s="138"/>
    </row>
    <row r="68" spans="10:11">
      <c r="J68" s="139"/>
      <c r="K68" s="138"/>
    </row>
  </sheetData>
  <sheetProtection algorithmName="SHA-512" hashValue="J+Je0+637RAtawQPTtdj9IQWYzTFMBGxpuMRA+EQJ0eiTL2LslrU9CJnzexqvvCjNkFXG0aXPd0NAdwxGFjkBw==" saltValue="UU/gouh8K82TL2ZA3FwaVg==" spinCount="100000" sheet="1" formatCells="0"/>
  <dataConsolidate function="product"/>
  <mergeCells count="16">
    <mergeCell ref="B56:C56"/>
    <mergeCell ref="B55:C55"/>
    <mergeCell ref="G7:H7"/>
    <mergeCell ref="B48:C48"/>
    <mergeCell ref="B34:D34"/>
    <mergeCell ref="B46:C46"/>
    <mergeCell ref="C27:D27"/>
    <mergeCell ref="A1:G1"/>
    <mergeCell ref="C5:D5"/>
    <mergeCell ref="C7:D7"/>
    <mergeCell ref="B32:C32"/>
    <mergeCell ref="B33:C33"/>
    <mergeCell ref="G5:H5"/>
    <mergeCell ref="E3:F3"/>
    <mergeCell ref="E5:F5"/>
    <mergeCell ref="G3:H3"/>
  </mergeCells>
  <phoneticPr fontId="5" type="noConversion"/>
  <dataValidations xWindow="1084" yWindow="517" count="2">
    <dataValidation type="list" allowBlank="1" showInputMessage="1" showErrorMessage="1" sqref="K1:K3">
      <formula1>$K$1:$K$3</formula1>
    </dataValidation>
    <dataValidation operator="equal" showInputMessage="1" sqref="C5:D5"/>
  </dataValidations>
  <printOptions horizontalCentered="1" verticalCentered="1"/>
  <pageMargins left="0.31496062992125984" right="0.19685039370078741" top="0.70866141732283461" bottom="0.39370078740157483" header="0.39370078740157483" footer="0.23622047244094488"/>
  <pageSetup paperSize="9" scale="56" orientation="landscape" r:id="rId1"/>
  <headerFooter alignWithMargins="0">
    <oddHeader>&amp;R&amp;"AvenirNext LT Com Regular,Fett"&amp;16Muster 20
Finanzstatusbericht</oddHeader>
    <oddFooter xml:space="preserve">&amp;C&amp;9                                                                                                                                                                 </oddFooter>
  </headerFooter>
  <drawing r:id="rId2"/>
  <extLst>
    <ext xmlns:x14="http://schemas.microsoft.com/office/spreadsheetml/2009/9/main" uri="{CCE6A557-97BC-4b89-ADB6-D9C93CAAB3DF}">
      <x14:dataValidations xmlns:xm="http://schemas.microsoft.com/office/excel/2006/main" xWindow="1084" yWindow="517" count="1">
        <x14:dataValidation type="list" allowBlank="1" showInputMessage="1" showErrorMessage="1" error="Bitte die Schlüsselnummer nur sechsstellig, ohne führende Null(en) und ohne Zwischenzeichen eintragen. " prompt="Bitte die Schlüsselnummer aus der Auswahlliste übernehmen oder bei manueller Eingabe jeweils sechsstellig, ohne Leerzeichen und ohne führende Nul(en)l eintragen. ">
          <x14:formula1>
            <xm:f>Kommunen!$A$3:$A$483</xm:f>
          </x14:formula1>
          <xm:sqref>G3:H3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40"/>
  <sheetViews>
    <sheetView showGridLines="0" zoomScaleNormal="100" workbookViewId="0">
      <selection activeCell="C7" sqref="C7"/>
    </sheetView>
  </sheetViews>
  <sheetFormatPr baseColWidth="10" defaultRowHeight="14.25"/>
  <cols>
    <col min="1" max="1" width="3.625" style="177" bestFit="1" customWidth="1"/>
    <col min="2" max="2" width="12.375" customWidth="1"/>
    <col min="3" max="3" width="13.375" bestFit="1" customWidth="1"/>
    <col min="4" max="4" width="13.25" customWidth="1"/>
    <col min="5" max="5" width="14.375" bestFit="1" customWidth="1"/>
    <col min="6" max="6" width="47.875" customWidth="1"/>
    <col min="7" max="7" width="57.5" customWidth="1"/>
  </cols>
  <sheetData>
    <row r="1" spans="1:7" ht="18">
      <c r="B1" s="184" t="s">
        <v>174</v>
      </c>
    </row>
    <row r="2" spans="1:7" ht="6.75" customHeight="1"/>
    <row r="3" spans="1:7" ht="15">
      <c r="A3" s="178" t="s">
        <v>111</v>
      </c>
      <c r="B3" s="158" t="s">
        <v>192</v>
      </c>
    </row>
    <row r="4" spans="1:7" ht="7.5" customHeight="1" thickBot="1"/>
    <row r="5" spans="1:7" ht="15" thickBot="1">
      <c r="C5" s="886" t="s">
        <v>243</v>
      </c>
      <c r="D5" s="887"/>
      <c r="E5" s="888"/>
    </row>
    <row r="6" spans="1:7" ht="15" thickBot="1">
      <c r="B6" t="s">
        <v>12</v>
      </c>
      <c r="C6" s="160" t="s">
        <v>244</v>
      </c>
      <c r="D6" s="160" t="s">
        <v>190</v>
      </c>
      <c r="E6" s="160" t="s">
        <v>191</v>
      </c>
      <c r="F6" s="160" t="s">
        <v>687</v>
      </c>
      <c r="G6" s="159" t="s">
        <v>223</v>
      </c>
    </row>
    <row r="7" spans="1:7">
      <c r="B7" s="224" t="str">
        <f>IF(Deckblatt!$G$7="","",Deckblatt!$G$7-7)</f>
        <v/>
      </c>
      <c r="C7" s="288"/>
      <c r="D7" s="288"/>
      <c r="E7" s="223">
        <f t="shared" ref="E7:E10" si="0">D7-C7</f>
        <v>0</v>
      </c>
      <c r="F7" s="281"/>
      <c r="G7" s="283"/>
    </row>
    <row r="8" spans="1:7">
      <c r="B8" s="224" t="str">
        <f>IF(Deckblatt!$G$7="","",Deckblatt!$G$7-6)</f>
        <v/>
      </c>
      <c r="C8" s="288"/>
      <c r="D8" s="288"/>
      <c r="E8" s="223">
        <f t="shared" si="0"/>
        <v>0</v>
      </c>
      <c r="F8" s="281"/>
      <c r="G8" s="283"/>
    </row>
    <row r="9" spans="1:7">
      <c r="B9" s="224" t="str">
        <f>IF(Deckblatt!$G$7="","",Deckblatt!$G$7-5)</f>
        <v/>
      </c>
      <c r="C9" s="288"/>
      <c r="D9" s="288"/>
      <c r="E9" s="223">
        <f t="shared" si="0"/>
        <v>0</v>
      </c>
      <c r="F9" s="281"/>
      <c r="G9" s="283"/>
    </row>
    <row r="10" spans="1:7">
      <c r="B10" s="224" t="str">
        <f>IF(Deckblatt!$G$7="","",Deckblatt!$G$7-4)</f>
        <v/>
      </c>
      <c r="C10" s="288"/>
      <c r="D10" s="288"/>
      <c r="E10" s="223">
        <f t="shared" si="0"/>
        <v>0</v>
      </c>
      <c r="F10" s="281"/>
      <c r="G10" s="283"/>
    </row>
    <row r="11" spans="1:7">
      <c r="B11" s="224" t="str">
        <f>IF(Deckblatt!$G$7="","",Deckblatt!$G$7-3)</f>
        <v/>
      </c>
      <c r="C11" s="288"/>
      <c r="D11" s="288"/>
      <c r="E11" s="223">
        <f>D11-C11</f>
        <v>0</v>
      </c>
      <c r="F11" s="281"/>
      <c r="G11" s="283"/>
    </row>
    <row r="12" spans="1:7">
      <c r="B12" s="155"/>
      <c r="C12" s="285"/>
      <c r="D12" s="285"/>
      <c r="E12" s="286"/>
      <c r="F12" s="156"/>
      <c r="G12" s="157"/>
    </row>
    <row r="13" spans="1:7">
      <c r="B13" s="155"/>
      <c r="C13" s="285"/>
      <c r="D13" s="285"/>
      <c r="E13" s="286"/>
      <c r="F13" s="156"/>
      <c r="G13" s="157"/>
    </row>
    <row r="14" spans="1:7" ht="18" customHeight="1">
      <c r="A14" s="105" t="s">
        <v>234</v>
      </c>
      <c r="B14" s="889" t="str">
        <f>IF(Deckblatt!G14="","Stand der Aufstellung des Jahresabschlusses",CONCATENATE("Stand der Aufstellung des Jahresabschlusses für ",Deckblatt!G14))</f>
        <v>Stand der Aufstellung des Jahresabschlusses</v>
      </c>
      <c r="C14" s="890"/>
      <c r="D14" s="891"/>
      <c r="E14" s="891"/>
      <c r="F14" s="281"/>
      <c r="G14" s="284"/>
    </row>
    <row r="15" spans="1:7" ht="18" customHeight="1">
      <c r="A15" s="105"/>
      <c r="B15" s="250"/>
      <c r="C15" s="179"/>
      <c r="D15" s="110"/>
      <c r="E15" s="110"/>
      <c r="F15" s="180"/>
      <c r="G15" s="181"/>
    </row>
    <row r="16" spans="1:7" ht="34.5" customHeight="1">
      <c r="A16" s="105" t="s">
        <v>235</v>
      </c>
      <c r="B16" s="892" t="str">
        <f>CONCATENATE("Voraussichtlicher Zeitpunkt des Aufstellungsbeschlusses für den Jahresabschluss ",Deckblatt!G14)</f>
        <v xml:space="preserve">Voraussichtlicher Zeitpunkt des Aufstellungsbeschlusses für den Jahresabschluss </v>
      </c>
      <c r="C16" s="892"/>
      <c r="D16" s="892"/>
      <c r="E16" s="893"/>
      <c r="F16" s="282"/>
      <c r="G16" s="284"/>
    </row>
    <row r="17" spans="1:7" ht="15">
      <c r="A17" s="178"/>
      <c r="B17" s="73"/>
      <c r="C17" s="89"/>
      <c r="D17" s="89"/>
      <c r="E17" s="89"/>
      <c r="F17" s="176"/>
      <c r="G17" s="157"/>
    </row>
    <row r="18" spans="1:7" ht="15">
      <c r="A18" s="178"/>
      <c r="B18" s="249"/>
      <c r="C18" s="166"/>
      <c r="D18" s="89"/>
      <c r="E18" s="89"/>
      <c r="F18" s="156"/>
      <c r="G18" s="157"/>
    </row>
    <row r="19" spans="1:7" ht="15" customHeight="1">
      <c r="A19" s="178" t="s">
        <v>113</v>
      </c>
      <c r="B19" s="885" t="s">
        <v>238</v>
      </c>
      <c r="C19" s="885"/>
      <c r="D19" s="885"/>
      <c r="E19" s="885"/>
      <c r="F19" s="885"/>
      <c r="G19" s="157"/>
    </row>
    <row r="20" spans="1:7" ht="15" customHeight="1" thickBot="1">
      <c r="A20" s="178"/>
      <c r="B20" s="182"/>
      <c r="C20" s="182"/>
      <c r="D20" s="182"/>
      <c r="E20" s="182"/>
      <c r="F20" s="182"/>
      <c r="G20" s="157"/>
    </row>
    <row r="21" spans="1:7" ht="15" customHeight="1" thickBot="1">
      <c r="A21" s="178"/>
      <c r="B21" s="894" t="s">
        <v>236</v>
      </c>
      <c r="C21" s="895"/>
      <c r="D21" s="896"/>
      <c r="E21" s="182"/>
      <c r="F21" s="194" t="s">
        <v>237</v>
      </c>
    </row>
    <row r="22" spans="1:7" ht="15" customHeight="1">
      <c r="A22" s="178"/>
      <c r="B22" s="900"/>
      <c r="C22" s="901"/>
      <c r="D22" s="902"/>
      <c r="E22" s="182"/>
      <c r="F22" s="280"/>
    </row>
    <row r="23" spans="1:7" ht="15" customHeight="1">
      <c r="A23" s="178"/>
      <c r="B23" s="897"/>
      <c r="C23" s="898"/>
      <c r="D23" s="899"/>
      <c r="E23" s="182"/>
      <c r="F23" s="280"/>
    </row>
    <row r="24" spans="1:7" ht="15" customHeight="1">
      <c r="A24" s="178"/>
      <c r="B24" s="897"/>
      <c r="C24" s="898"/>
      <c r="D24" s="899"/>
      <c r="E24" s="182"/>
      <c r="F24" s="280"/>
    </row>
    <row r="25" spans="1:7" ht="15" customHeight="1">
      <c r="A25" s="178"/>
      <c r="B25" s="897"/>
      <c r="C25" s="898"/>
      <c r="D25" s="899"/>
      <c r="E25" s="182"/>
      <c r="F25" s="280"/>
    </row>
    <row r="26" spans="1:7" ht="15" customHeight="1">
      <c r="A26" s="178"/>
      <c r="B26" s="897"/>
      <c r="C26" s="898"/>
      <c r="D26" s="899"/>
      <c r="E26" s="182"/>
      <c r="F26" s="280"/>
    </row>
    <row r="27" spans="1:7" ht="15" customHeight="1">
      <c r="A27" s="178"/>
      <c r="B27" s="897"/>
      <c r="C27" s="898"/>
      <c r="D27" s="899"/>
      <c r="E27" s="182"/>
      <c r="F27" s="280"/>
    </row>
    <row r="28" spans="1:7" ht="15" customHeight="1">
      <c r="A28" s="178"/>
      <c r="B28" s="897"/>
      <c r="C28" s="898"/>
      <c r="D28" s="899"/>
      <c r="E28" s="182"/>
      <c r="F28" s="280"/>
    </row>
    <row r="29" spans="1:7" ht="15" customHeight="1">
      <c r="A29" s="178"/>
      <c r="B29" s="897"/>
      <c r="C29" s="898"/>
      <c r="D29" s="899"/>
      <c r="E29" s="182"/>
      <c r="F29" s="280"/>
    </row>
    <row r="30" spans="1:7" ht="15" customHeight="1">
      <c r="A30" s="178"/>
      <c r="B30" s="897"/>
      <c r="C30" s="898"/>
      <c r="D30" s="899"/>
      <c r="E30" s="182"/>
      <c r="F30" s="280"/>
    </row>
    <row r="31" spans="1:7" ht="15" customHeight="1">
      <c r="A31" s="178"/>
      <c r="B31" s="897"/>
      <c r="C31" s="898"/>
      <c r="D31" s="899"/>
      <c r="E31" s="182"/>
      <c r="F31" s="280"/>
    </row>
    <row r="32" spans="1:7" ht="15" customHeight="1">
      <c r="A32" s="178"/>
      <c r="B32" s="897"/>
      <c r="C32" s="898"/>
      <c r="D32" s="899"/>
      <c r="E32" s="182"/>
      <c r="F32" s="280"/>
    </row>
    <row r="33" spans="1:7" ht="15" customHeight="1">
      <c r="A33" s="178"/>
      <c r="B33" s="897"/>
      <c r="C33" s="898"/>
      <c r="D33" s="899"/>
      <c r="E33" s="182"/>
      <c r="F33" s="280"/>
    </row>
    <row r="34" spans="1:7" ht="15" customHeight="1">
      <c r="A34" s="178"/>
      <c r="B34" s="897"/>
      <c r="C34" s="898"/>
      <c r="D34" s="899"/>
      <c r="E34" s="182"/>
      <c r="F34" s="280"/>
    </row>
    <row r="35" spans="1:7" ht="15" customHeight="1">
      <c r="A35" s="178"/>
      <c r="B35" s="897"/>
      <c r="C35" s="898"/>
      <c r="D35" s="899"/>
      <c r="E35" s="182"/>
      <c r="F35" s="280"/>
    </row>
    <row r="36" spans="1:7" ht="15">
      <c r="A36" s="178"/>
      <c r="B36" s="897"/>
      <c r="C36" s="898"/>
      <c r="D36" s="899"/>
      <c r="E36" s="168"/>
      <c r="F36" s="280"/>
    </row>
    <row r="37" spans="1:7" ht="15">
      <c r="A37" s="178"/>
      <c r="B37" s="897"/>
      <c r="C37" s="898"/>
      <c r="D37" s="899"/>
      <c r="E37" s="168"/>
      <c r="F37" s="280"/>
    </row>
    <row r="39" spans="1:7" ht="15" customHeight="1">
      <c r="A39" s="178"/>
      <c r="B39" s="885"/>
      <c r="C39" s="903"/>
      <c r="D39" s="884"/>
      <c r="E39" s="884"/>
      <c r="G39" s="157"/>
    </row>
    <row r="40" spans="1:7" ht="15">
      <c r="A40" s="178" t="s">
        <v>114</v>
      </c>
      <c r="B40" s="883" t="str">
        <f>IF(Deckblatt!G14="","Aufstellung Gesamtabschluss erforderlich",CONCATENATE("Aufstellung Gesamtabschluss erforderlich für ",Deckblatt!G14))</f>
        <v>Aufstellung Gesamtabschluss erforderlich</v>
      </c>
      <c r="C40" s="884"/>
      <c r="D40" s="884"/>
      <c r="E40" s="884"/>
      <c r="F40" s="311" t="s">
        <v>119</v>
      </c>
      <c r="G40" s="157"/>
    </row>
  </sheetData>
  <sheetProtection password="DC84" sheet="1" objects="1" scenarios="1"/>
  <dataConsolidate/>
  <mergeCells count="23">
    <mergeCell ref="B36:D36"/>
    <mergeCell ref="B37:D37"/>
    <mergeCell ref="B31:D31"/>
    <mergeCell ref="B32:D32"/>
    <mergeCell ref="B33:D33"/>
    <mergeCell ref="B34:D34"/>
    <mergeCell ref="B35:D35"/>
    <mergeCell ref="B40:E40"/>
    <mergeCell ref="B19:F19"/>
    <mergeCell ref="C5:E5"/>
    <mergeCell ref="B14:E14"/>
    <mergeCell ref="B16:E16"/>
    <mergeCell ref="B21:D21"/>
    <mergeCell ref="B27:D27"/>
    <mergeCell ref="B28:D28"/>
    <mergeCell ref="B29:D29"/>
    <mergeCell ref="B30:D30"/>
    <mergeCell ref="B22:D22"/>
    <mergeCell ref="B23:D23"/>
    <mergeCell ref="B24:D24"/>
    <mergeCell ref="B25:D25"/>
    <mergeCell ref="B26:D26"/>
    <mergeCell ref="B39:E39"/>
  </mergeCells>
  <conditionalFormatting sqref="F16">
    <cfRule type="expression" dxfId="68" priority="6" stopIfTrue="1">
      <formula>ISBLANK(F16)</formula>
    </cfRule>
  </conditionalFormatting>
  <conditionalFormatting sqref="F40">
    <cfRule type="containsText" dxfId="67" priority="1" operator="containsText" text="nein">
      <formula>NOT(ISERROR(SEARCH("nein",F40)))</formula>
    </cfRule>
    <cfRule type="containsText" dxfId="66" priority="2" operator="containsText" text="ja">
      <formula>NOT(ISERROR(SEARCH("ja",F40)))</formula>
    </cfRule>
  </conditionalFormatting>
  <dataValidations xWindow="211" yWindow="318" count="5">
    <dataValidation type="list" allowBlank="1" showInputMessage="1" showErrorMessage="1" sqref="F12:F13">
      <formula1>"Aufstellung durch Gemeindevorstand/Magistrat/Kreisausschuss, Vorlage an RPA, Prüfung RPA abgeschlossen, Entlastungsbeschluss erfolgt"</formula1>
    </dataValidation>
    <dataValidation type="list" allowBlank="1" showInputMessage="1" showErrorMessage="1" error="Es sind nur Eintragungen entsprechend der Auswahlliste möglich. " prompt="Bitte Angaben zum Status des Jahresabschlusses vornehmen. " sqref="F15 F18 F7:F11">
      <formula1>"Aufstellung noch nicht erfolgt,Aufstellungsbeschluss und Vorlage an RPA erfolgt, Prüfung RPA abgeschlossen, Entlastungsbeschluss erfolgt"</formula1>
    </dataValidation>
    <dataValidation allowBlank="1" showInputMessage="1" showErrorMessage="1" prompt="Haushaltsplan ggf. Nachtragshaushaltsplan" sqref="C7:C11"/>
    <dataValidation type="list" allowBlank="1" showInputMessage="1" showErrorMessage="1" error="Es sind nur Eintragungen entsprechend der Auswahlliste möglich. " prompt="Bitte Angaben zum Status des Jahresabschlusses vornehmen. " sqref="F14">
      <formula1>"Aufstellung noch nicht erfolgt,Aufstellungsbeschluss und vollständige Vorlage an RPA erfolgt, Prüfung RPA abgeschlossen, Entlastungsbeschluss erfolgt"</formula1>
    </dataValidation>
    <dataValidation type="list" allowBlank="1" showInputMessage="1" showErrorMessage="1" sqref="F40">
      <formula1>"Bitte auswählen,ja,nein"</formula1>
    </dataValidation>
  </dataValidations>
  <pageMargins left="0.7" right="0.7" top="0.78740157499999996" bottom="0.78740157499999996"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R58"/>
  <sheetViews>
    <sheetView showGridLines="0" zoomScale="70" zoomScaleNormal="70" zoomScalePageLayoutView="85" workbookViewId="0">
      <selection activeCell="E6" sqref="E6"/>
    </sheetView>
  </sheetViews>
  <sheetFormatPr baseColWidth="10" defaultColWidth="11" defaultRowHeight="15"/>
  <cols>
    <col min="1" max="1" width="2.75" style="67" customWidth="1"/>
    <col min="2" max="2" width="3.5" style="105" customWidth="1"/>
    <col min="3" max="3" width="39.625" style="67" customWidth="1"/>
    <col min="4" max="4" width="12.625" style="67" customWidth="1"/>
    <col min="5" max="5" width="22.375" style="67" customWidth="1"/>
    <col min="6" max="6" width="2.125" style="67" customWidth="1"/>
    <col min="7" max="7" width="59.75" style="107" customWidth="1"/>
    <col min="8" max="8" width="5.125" style="67" customWidth="1"/>
    <col min="9" max="9" width="38" style="67" customWidth="1"/>
    <col min="10" max="10" width="13.75" style="67" customWidth="1"/>
    <col min="11" max="11" width="16" style="67" customWidth="1"/>
    <col min="12" max="12" width="13.125" style="67" customWidth="1"/>
    <col min="13" max="13" width="11" style="67"/>
    <col min="14" max="14" width="11" style="324"/>
    <col min="15" max="15" width="13.75" style="324" hidden="1" customWidth="1"/>
    <col min="16" max="16" width="11" style="324"/>
    <col min="17" max="17" width="12.625" style="67" customWidth="1"/>
    <col min="18" max="18" width="13.75" style="67" hidden="1" customWidth="1"/>
    <col min="19" max="16384" width="11" style="67"/>
  </cols>
  <sheetData>
    <row r="1" spans="1:18" ht="15.75">
      <c r="A1" s="908" t="str">
        <f>IF(Deckblatt!$G$7="","Angaben zur Beurteilung der dauernden finanziellen Leistungsfähigkeit",CONCATENATE("Angaben zur Beurteilung der dauernden finanziellen Leistungsfähigkeit für ",Deckblatt!$G$7))</f>
        <v>Angaben zur Beurteilung der dauernden finanziellen Leistungsfähigkeit</v>
      </c>
      <c r="B1" s="908"/>
      <c r="C1" s="908"/>
      <c r="D1" s="908"/>
      <c r="E1" s="908"/>
      <c r="F1" s="109"/>
      <c r="G1" s="111"/>
      <c r="H1" s="109"/>
      <c r="I1" s="212" t="s">
        <v>177</v>
      </c>
      <c r="J1" s="213"/>
      <c r="K1" s="213"/>
      <c r="L1" s="213"/>
      <c r="M1" s="213"/>
      <c r="N1" s="321"/>
      <c r="O1" s="327" t="s">
        <v>119</v>
      </c>
      <c r="P1" s="321"/>
      <c r="Q1" s="213"/>
      <c r="R1" s="320" t="s">
        <v>694</v>
      </c>
    </row>
    <row r="2" spans="1:18" ht="14.25" customHeight="1">
      <c r="C2" s="109"/>
      <c r="D2" s="109"/>
      <c r="E2" s="83"/>
      <c r="G2" s="112" t="s">
        <v>47</v>
      </c>
      <c r="H2" s="109"/>
      <c r="I2" s="214"/>
      <c r="J2" s="213"/>
      <c r="K2" s="213"/>
      <c r="L2" s="213"/>
      <c r="M2" s="213"/>
      <c r="N2" s="321"/>
      <c r="O2" s="327" t="s">
        <v>693</v>
      </c>
      <c r="P2" s="321"/>
      <c r="Q2" s="213"/>
      <c r="R2" s="320" t="s">
        <v>693</v>
      </c>
    </row>
    <row r="3" spans="1:18">
      <c r="D3" s="109"/>
      <c r="E3" s="113" t="s">
        <v>118</v>
      </c>
      <c r="F3" s="109"/>
      <c r="G3" s="111"/>
      <c r="H3" s="109"/>
      <c r="I3" s="214"/>
      <c r="J3" s="213"/>
      <c r="K3" s="213"/>
      <c r="L3" s="215"/>
      <c r="M3" s="216" t="s">
        <v>178</v>
      </c>
      <c r="N3" s="323"/>
      <c r="O3" s="327" t="s">
        <v>692</v>
      </c>
      <c r="P3" s="323"/>
      <c r="Q3" s="213"/>
      <c r="R3" s="320" t="s">
        <v>692</v>
      </c>
    </row>
    <row r="4" spans="1:18" ht="30.75" customHeight="1">
      <c r="B4" s="105" t="s">
        <v>111</v>
      </c>
      <c r="C4" s="108" t="str">
        <f>IF(Deckblatt!$G$7="","Geplantes ordentliches Ergebnis",CONCATENATE("Geplantes ordentliches Ergebnis für ",Deckblatt!$G$7))</f>
        <v>Geplantes ordentliches Ergebnis</v>
      </c>
      <c r="D4" s="110"/>
      <c r="E4" s="326" t="str">
        <f>Ergebnishaushalt!G31</f>
        <v/>
      </c>
      <c r="F4" s="110"/>
      <c r="G4" s="329" t="s">
        <v>172</v>
      </c>
      <c r="I4" s="108" t="str">
        <f>IF(Deckblatt!$G$7="","Geplantes ordentliches Ergebnis je Einwohner",CONCATENATE("Geplantes ordentliches Ergebnis je Einwohner für ",Deckblatt!$G$7))</f>
        <v>Geplantes ordentliches Ergebnis je Einwohner</v>
      </c>
      <c r="J4" s="261"/>
      <c r="K4" s="262" t="str">
        <f>IF(E4="","",E4/Deckblatt!C10)</f>
        <v/>
      </c>
      <c r="L4" s="261"/>
      <c r="M4" s="217" t="str">
        <f>IF(K4="","",IF(M5=30,1*0,IF(K4&gt;5,1*40,IF(K4&gt;=-5,0.75*40,IF(K4&gt;=-40,0.5*40,IF(K4&gt;=-75,0.25*40,IF(K4&lt;-75,1*0)))))))</f>
        <v/>
      </c>
      <c r="N4" s="217"/>
      <c r="O4" s="217"/>
      <c r="P4" s="217"/>
      <c r="Q4" s="263"/>
    </row>
    <row r="5" spans="1:18" ht="78" customHeight="1">
      <c r="C5" s="885" t="str">
        <f>IF(E4&lt;0,"Bei einem geplanten Fehlbedarf im ordentlichen Ergebnis bitte nebenstehend auswählen, ob ein Ausgleich des Defizits durch die Inanspruchnahme der ordentlichen Rücklage nach § 92 Abs. 5 Nr. 1 HGO beim Jahresabschluss geplant ist.","")</f>
        <v/>
      </c>
      <c r="D5" s="905"/>
      <c r="E5" s="394" t="s">
        <v>119</v>
      </c>
      <c r="F5" s="109"/>
      <c r="G5" s="328"/>
      <c r="I5" s="261"/>
      <c r="J5" s="261"/>
      <c r="K5" s="261"/>
      <c r="L5" s="261"/>
      <c r="M5" s="217" t="str">
        <f>IF(AND(E4&lt;0,E5="ja"),30,"")</f>
        <v/>
      </c>
      <c r="N5" s="217"/>
      <c r="O5" s="391" t="str">
        <f>IF(E4&lt;0,"Auswahlliste","")</f>
        <v/>
      </c>
      <c r="P5" s="217"/>
      <c r="Q5" s="261"/>
    </row>
    <row r="6" spans="1:18" ht="41.25" customHeight="1">
      <c r="B6" s="105" t="s">
        <v>112</v>
      </c>
      <c r="C6" s="253" t="str">
        <f>IF(Deckblatt!G7="","Bestand Rücklage aus Überschüssen des ordentlichen Ergebnisses",CONCATENATE("Bestand Rücklage aus Überschüssen des ordentlichen Ergebnisses zum 31.12.",Deckblatt!E14-1))</f>
        <v>Bestand Rücklage aus Überschüssen des ordentlichen Ergebnisses</v>
      </c>
      <c r="D6" s="110"/>
      <c r="E6" s="210"/>
      <c r="F6" s="110"/>
      <c r="G6" s="147" t="s">
        <v>201</v>
      </c>
      <c r="I6" s="913" t="str">
        <f>IF(Deckblatt!G7="","Bestand Rücklage aus Überschüssen des ordentlichen Ergebnisses",CONCATENATE("Bestand Rücklage aus Überschüssen des ordentlichen Ergebnisses zum 31.12. ",Deckblatt!E14-1))</f>
        <v>Bestand Rücklage aus Überschüssen des ordentlichen Ergebnisses</v>
      </c>
      <c r="J6" s="914"/>
      <c r="K6" s="264" t="str">
        <f>IF(E6="","",E6)</f>
        <v/>
      </c>
      <c r="L6" s="261"/>
      <c r="M6" s="217" t="str">
        <f>IF(K6="","",IF(K6&gt;0,1*0.05*100,0))</f>
        <v/>
      </c>
      <c r="N6" s="217"/>
      <c r="O6" s="392"/>
      <c r="P6" s="217"/>
      <c r="Q6" s="261"/>
    </row>
    <row r="7" spans="1:18" ht="8.25" customHeight="1">
      <c r="C7" s="109"/>
      <c r="D7" s="110"/>
      <c r="E7" s="209"/>
      <c r="F7" s="110"/>
      <c r="G7" s="147"/>
      <c r="I7" s="261"/>
      <c r="J7" s="261"/>
      <c r="K7" s="261"/>
      <c r="L7" s="261"/>
      <c r="M7" s="261"/>
      <c r="N7" s="261"/>
      <c r="O7" s="393"/>
      <c r="P7" s="261"/>
      <c r="Q7" s="261"/>
    </row>
    <row r="8" spans="1:18" ht="45">
      <c r="B8" s="105" t="s">
        <v>113</v>
      </c>
      <c r="C8" s="684" t="s">
        <v>730</v>
      </c>
      <c r="D8" s="110"/>
      <c r="E8" s="208"/>
      <c r="F8" s="110"/>
      <c r="G8" s="147" t="s">
        <v>872</v>
      </c>
      <c r="I8" s="108" t="s">
        <v>731</v>
      </c>
      <c r="J8" s="261"/>
      <c r="K8" s="264" t="str">
        <f>IF(E8="","",E8)</f>
        <v/>
      </c>
      <c r="L8" s="261"/>
      <c r="M8" s="718" t="str">
        <f>IF(E4="","",IF(E8&gt;0,0,5))</f>
        <v/>
      </c>
      <c r="N8" s="217"/>
      <c r="O8" s="217"/>
      <c r="P8" s="217"/>
      <c r="Q8" s="261"/>
    </row>
    <row r="9" spans="1:18" s="686" customFormat="1">
      <c r="C9" s="684"/>
      <c r="D9" s="685"/>
      <c r="E9" s="700"/>
      <c r="F9" s="685"/>
      <c r="G9" s="687"/>
      <c r="I9" s="108"/>
      <c r="J9" s="261"/>
      <c r="K9" s="264"/>
      <c r="L9" s="261"/>
      <c r="M9" s="217"/>
      <c r="N9" s="217"/>
      <c r="O9" s="217"/>
      <c r="P9" s="217"/>
      <c r="Q9" s="261"/>
    </row>
    <row r="10" spans="1:18" s="686" customFormat="1">
      <c r="B10" s="105" t="s">
        <v>114</v>
      </c>
      <c r="C10" s="699" t="s">
        <v>712</v>
      </c>
      <c r="D10" s="685"/>
      <c r="E10" s="700"/>
      <c r="F10" s="685"/>
      <c r="G10" s="687"/>
      <c r="I10" s="108"/>
      <c r="J10" s="261"/>
      <c r="K10" s="264"/>
      <c r="L10" s="261"/>
      <c r="M10" s="217"/>
      <c r="N10" s="217"/>
      <c r="O10" s="217"/>
      <c r="P10" s="217"/>
      <c r="Q10" s="261"/>
    </row>
    <row r="11" spans="1:18" s="686" customFormat="1" ht="71.25">
      <c r="B11" s="105" t="s">
        <v>188</v>
      </c>
      <c r="C11" s="684" t="str">
        <f>IF(Deckblatt!$G$7="","Mindestbetrag der nach § 106 Abs. 1 S. 2 HGO vorzuhaltenden Liquiditätsreserve für",CONCATENATE("Mindestbetrag der nach § 106 Abs. 1 S. 2 HGO vorzuhaltenden Liquiditätsreserve für ",Deckblatt!$E$14))</f>
        <v>Mindestbetrag der nach § 106 Abs. 1 S. 2 HGO vorzuhaltenden Liquiditätsreserve für</v>
      </c>
      <c r="D11" s="685"/>
      <c r="E11" s="707"/>
      <c r="F11" s="685"/>
      <c r="G11" s="687" t="s">
        <v>732</v>
      </c>
      <c r="I11" s="108"/>
      <c r="J11" s="261"/>
      <c r="K11" s="264"/>
      <c r="L11" s="261"/>
      <c r="M11" s="217"/>
      <c r="N11" s="217"/>
      <c r="O11" s="217"/>
      <c r="P11" s="217"/>
      <c r="Q11" s="261"/>
    </row>
    <row r="12" spans="1:18" s="686" customFormat="1" ht="30">
      <c r="B12" s="105" t="s">
        <v>189</v>
      </c>
      <c r="C12" s="684" t="str">
        <f>IF(Deckblatt!$G$7="","Höhe der tatsächlich vorgehaltenen Liquiditätsreserve am 1.1.",CONCATENATE("Höhe der tatsächlich vorgehaltenen Liquiditätsreserve am 1.1.",Deckblatt!$E$14))</f>
        <v>Höhe der tatsächlich vorgehaltenen Liquiditätsreserve am 1.1.</v>
      </c>
      <c r="D12" s="685"/>
      <c r="E12" s="708"/>
      <c r="F12" s="685"/>
      <c r="G12" s="687" t="s">
        <v>733</v>
      </c>
      <c r="I12" s="108" t="str">
        <f>IF(ISERROR(E12/E11),"",IF(E12/E11&gt;=1,"Die Liquiditätsreserve wurde vollständig gebildet",IF(E12/E11&gt;=0.5,"Die Liquiditätsreserve wurde teilweise gebildet",IF(E12/E11&lt;0.5,"Die Liquiditätsreserve wurde unvollständig gebildet",))))</f>
        <v/>
      </c>
      <c r="J12" s="261"/>
      <c r="K12" s="264"/>
      <c r="L12" s="261"/>
      <c r="M12" s="217" t="str">
        <f>IF(ISERROR(E11/E12),"",IF(E12=0,0*0,IF(E12/E11&lt;0.5,1*0,IF(E12/E11&lt;1,0.5*5,IF(E12/E11&gt;=1,1*5)))))</f>
        <v/>
      </c>
      <c r="N12" s="217"/>
      <c r="O12" s="217"/>
      <c r="P12" s="217"/>
      <c r="Q12" s="261"/>
    </row>
    <row r="13" spans="1:18" s="686" customFormat="1">
      <c r="B13" s="105"/>
      <c r="C13" s="684"/>
      <c r="D13" s="685"/>
      <c r="E13" s="700"/>
      <c r="F13" s="685"/>
      <c r="G13" s="687"/>
      <c r="I13" s="108"/>
      <c r="J13" s="261"/>
      <c r="K13" s="264"/>
      <c r="L13" s="261"/>
      <c r="M13" s="217"/>
      <c r="N13" s="217"/>
      <c r="O13" s="217"/>
      <c r="P13" s="217"/>
      <c r="Q13" s="261"/>
    </row>
    <row r="14" spans="1:18">
      <c r="B14" s="105" t="s">
        <v>116</v>
      </c>
      <c r="C14" s="207" t="s">
        <v>762</v>
      </c>
      <c r="D14" s="110"/>
      <c r="E14" s="209"/>
      <c r="F14" s="110"/>
      <c r="G14" s="716"/>
      <c r="H14" s="714"/>
      <c r="I14" s="715"/>
      <c r="J14" s="261"/>
      <c r="K14" s="711"/>
      <c r="L14" s="261"/>
      <c r="M14" s="261"/>
      <c r="N14" s="261"/>
      <c r="O14" s="261"/>
      <c r="P14" s="261"/>
      <c r="Q14" s="261"/>
    </row>
    <row r="15" spans="1:18" ht="36" customHeight="1">
      <c r="B15" s="105" t="s">
        <v>734</v>
      </c>
      <c r="C15" s="720" t="s">
        <v>763</v>
      </c>
      <c r="D15" s="110"/>
      <c r="E15" s="211"/>
      <c r="F15" s="131"/>
      <c r="G15" s="147" t="s">
        <v>758</v>
      </c>
      <c r="I15" s="110"/>
      <c r="J15" s="110"/>
      <c r="K15" s="110"/>
      <c r="L15" s="110"/>
      <c r="M15" s="110"/>
      <c r="N15" s="322"/>
      <c r="O15" s="322"/>
      <c r="P15" s="322"/>
      <c r="Q15" s="261"/>
    </row>
    <row r="16" spans="1:18" ht="28.5">
      <c r="B16" s="105" t="s">
        <v>735</v>
      </c>
      <c r="C16" s="250" t="s">
        <v>115</v>
      </c>
      <c r="D16" s="154"/>
      <c r="E16" s="208"/>
      <c r="F16" s="131"/>
      <c r="G16" s="132" t="s">
        <v>759</v>
      </c>
      <c r="I16" s="108" t="s">
        <v>115</v>
      </c>
      <c r="J16" s="261"/>
      <c r="K16" s="264" t="str">
        <f>IF(E16="","",E16)</f>
        <v/>
      </c>
      <c r="L16" s="261"/>
      <c r="M16" s="217" t="str">
        <f>IF(K16="","",IF(K16&gt;0,1*0.05*100,0))</f>
        <v/>
      </c>
      <c r="N16" s="217"/>
      <c r="O16" s="217"/>
      <c r="P16" s="217"/>
      <c r="Q16" s="261"/>
    </row>
    <row r="17" spans="2:18">
      <c r="C17" s="108"/>
      <c r="D17" s="110"/>
      <c r="E17" s="115"/>
      <c r="F17" s="110"/>
      <c r="G17" s="254"/>
      <c r="I17" s="261"/>
      <c r="J17" s="261"/>
      <c r="K17" s="261"/>
      <c r="L17" s="261"/>
      <c r="M17" s="261"/>
      <c r="N17" s="261"/>
      <c r="O17" s="261"/>
      <c r="P17" s="261"/>
      <c r="Q17" s="261"/>
    </row>
    <row r="18" spans="2:18" ht="45">
      <c r="B18" s="105" t="s">
        <v>117</v>
      </c>
      <c r="C18" s="253" t="str">
        <f>IF(Deckblatt!$G$7="","Höhe der Verbindlichkeiten aus Liquiditätskrediten (Kernverwaltung und Sondervermögen",CONCATENATE("Höhe der  Verbindlichkeiten aus Liquiditätskrediten (Kernverwaltung und Sondervermögen) zum 31.12.",Deckblatt!$E$14-1))</f>
        <v>Höhe der Verbindlichkeiten aus Liquiditätskrediten (Kernverwaltung und Sondervermögen</v>
      </c>
      <c r="D18" s="110"/>
      <c r="E18" s="713" t="str">
        <f>IF(AND(ISBLANK('Verbindlichkeiten '!F4),ISBLANK('Verbindlichkeiten '!F6)),"",SUM('Verbindlichkeiten '!F4+'Verbindlichkeiten '!F6))</f>
        <v/>
      </c>
      <c r="F18" s="110"/>
      <c r="G18" s="114" t="s">
        <v>743</v>
      </c>
      <c r="I18" s="253" t="str">
        <f>IF(Deckblatt!$G$7="","Höhe der Liquiditätskreditverbindlichkeiten (Kernverwaltung und Sondervermögen) ",CONCATENATE("Höhe der Kassenkreditverbindlichkeiten (Kernverwaltung und Sondervermögen) zum 31.12.",Deckblatt!$E$14-1))</f>
        <v xml:space="preserve">Höhe der Liquiditätskreditverbindlichkeiten (Kernverwaltung und Sondervermögen) </v>
      </c>
      <c r="J18" s="261"/>
      <c r="K18" s="262" t="str">
        <f>IF(E18="","",E18)</f>
        <v/>
      </c>
      <c r="L18" s="261"/>
      <c r="M18" s="718" t="str">
        <f>IF(E4="","",IF(E18="",1*5,IF(E18&lt;=0,1*5,0)))</f>
        <v/>
      </c>
      <c r="N18" s="217"/>
      <c r="O18" s="217"/>
      <c r="P18" s="217"/>
      <c r="Q18" s="261"/>
    </row>
    <row r="19" spans="2:18">
      <c r="C19" s="108"/>
      <c r="D19" s="110"/>
      <c r="E19" s="712"/>
      <c r="F19" s="110"/>
      <c r="G19" s="147"/>
      <c r="I19" s="261"/>
      <c r="J19" s="261"/>
      <c r="K19" s="261"/>
      <c r="L19" s="261"/>
      <c r="M19" s="719"/>
      <c r="N19" s="261"/>
      <c r="O19" s="261"/>
      <c r="P19" s="261"/>
      <c r="Q19" s="261"/>
    </row>
    <row r="20" spans="2:18" s="703" customFormat="1" ht="30">
      <c r="B20" s="105" t="s">
        <v>736</v>
      </c>
      <c r="C20" s="720" t="s">
        <v>861</v>
      </c>
      <c r="D20" s="261"/>
      <c r="E20" s="713" t="str">
        <f>IF(ISBLANK('Verbindlichkeiten '!F8),"",('Verbindlichkeiten '!F8))</f>
        <v/>
      </c>
      <c r="F20" s="702"/>
      <c r="G20" s="114" t="s">
        <v>744</v>
      </c>
      <c r="I20" s="795" t="s">
        <v>861</v>
      </c>
      <c r="J20" s="261"/>
      <c r="K20" s="262" t="str">
        <f>IF(E20="","",E20)</f>
        <v/>
      </c>
      <c r="L20" s="261"/>
      <c r="M20" s="718" t="str">
        <f>IF(E4="","",IF(E20="",1*5,IF(E20&gt;0,0*5,IF(E20=0,1*5))))</f>
        <v/>
      </c>
      <c r="N20" s="261"/>
      <c r="O20" s="261"/>
      <c r="P20" s="261"/>
      <c r="Q20" s="261"/>
    </row>
    <row r="21" spans="2:18" s="703" customFormat="1">
      <c r="B21" s="105"/>
      <c r="C21" s="108"/>
      <c r="D21" s="261"/>
      <c r="E21" s="712"/>
      <c r="F21" s="702"/>
      <c r="G21" s="704"/>
      <c r="I21" s="261"/>
      <c r="J21" s="261"/>
      <c r="K21" s="261"/>
      <c r="L21" s="261"/>
      <c r="M21" s="261"/>
      <c r="N21" s="261"/>
      <c r="O21" s="261"/>
      <c r="P21" s="261"/>
      <c r="Q21" s="261"/>
    </row>
    <row r="22" spans="2:18" ht="76.5" customHeight="1">
      <c r="B22" s="106" t="s">
        <v>740</v>
      </c>
      <c r="C22" s="912" t="s">
        <v>752</v>
      </c>
      <c r="D22" s="912"/>
      <c r="E22" s="259" t="str">
        <f>IF(SUM(E23),SUM(E23)-SUM(E24)-SUM(E25)+SUM(E26),"")</f>
        <v/>
      </c>
      <c r="F22" s="110"/>
      <c r="G22" s="218" t="s">
        <v>755</v>
      </c>
      <c r="I22" s="911" t="s">
        <v>864</v>
      </c>
      <c r="J22" s="911"/>
      <c r="K22" s="265" t="str">
        <f>IF(E22="","",E22/Deckblatt!$C$10)</f>
        <v/>
      </c>
      <c r="L22" s="261"/>
      <c r="M22" s="217" t="str">
        <f>IF(K22="","",IF(K22&gt;5,1*30,IF(K22&gt;=0,0.5*30,IF(K22&lt;0,1*0))))</f>
        <v/>
      </c>
      <c r="N22" s="217"/>
      <c r="O22" s="217"/>
      <c r="P22" s="217"/>
      <c r="Q22" s="261"/>
      <c r="R22" s="220"/>
    </row>
    <row r="23" spans="2:18" ht="36" customHeight="1">
      <c r="B23" s="106" t="s">
        <v>741</v>
      </c>
      <c r="C23" s="885" t="str">
        <f>IF(Deckblatt!G7="","Zahlungsmittelfluss aus laufender Verwaltungstätigkeit",CONCATENATE("Zahlungsmittelfluss aus laufender Verwaltungstätigkeit für ",Deckblatt!G7))</f>
        <v>Zahlungsmittelfluss aus laufender Verwaltungstätigkeit</v>
      </c>
      <c r="D23" s="903"/>
      <c r="E23" s="260" t="str">
        <f>Finanzhaushalt!G8</f>
        <v/>
      </c>
      <c r="F23" s="110"/>
      <c r="G23" s="114" t="s">
        <v>248</v>
      </c>
      <c r="I23" s="261"/>
      <c r="J23" s="261"/>
      <c r="K23" s="261"/>
      <c r="L23" s="261"/>
      <c r="M23" s="261"/>
      <c r="N23" s="261"/>
      <c r="O23" s="261"/>
      <c r="P23" s="261"/>
      <c r="Q23" s="261"/>
    </row>
    <row r="24" spans="2:18" ht="33" customHeight="1">
      <c r="B24" s="106" t="s">
        <v>742</v>
      </c>
      <c r="C24" s="885" t="str">
        <f>IF(Deckblatt!G7="","Ordentliche Tilgung",CONCATENATE("Ordentliche Tilgung für ",Deckblatt!G7))</f>
        <v>Ordentliche Tilgung</v>
      </c>
      <c r="D24" s="903"/>
      <c r="E24" s="260" t="str">
        <f>IF(ISBLANK(Finanzhaushalt!G33),"",(Finanzhaushalt!G33))</f>
        <v/>
      </c>
      <c r="F24" s="110"/>
      <c r="G24" s="114" t="s">
        <v>745</v>
      </c>
      <c r="I24" s="261"/>
      <c r="J24" s="261"/>
      <c r="K24" s="261"/>
      <c r="L24" s="261"/>
      <c r="M24" s="261"/>
      <c r="N24" s="261"/>
      <c r="O24" s="261"/>
      <c r="P24" s="261"/>
      <c r="Q24" s="261"/>
    </row>
    <row r="25" spans="2:18" s="703" customFormat="1" ht="33" customHeight="1">
      <c r="B25" s="106" t="s">
        <v>746</v>
      </c>
      <c r="C25" s="885" t="str">
        <f>IF(Deckblatt!G7="","Zahlungen an das Sondervermögen Hessenkasse für",CONCATENATE("Zahlungen an das Sondervermögen Hessenkasse für ",Deckblatt!G7))</f>
        <v>Zahlungen an das Sondervermögen Hessenkasse für</v>
      </c>
      <c r="D25" s="903"/>
      <c r="E25" s="260" t="str">
        <f>IF(ISBLANK(Finanzhaushalt!G35),"",(Finanzhaushalt!G35))</f>
        <v/>
      </c>
      <c r="F25" s="702"/>
      <c r="G25" s="114" t="s">
        <v>757</v>
      </c>
      <c r="I25" s="261"/>
      <c r="J25" s="261"/>
      <c r="K25" s="261"/>
      <c r="L25" s="261"/>
      <c r="M25" s="261"/>
      <c r="N25" s="261"/>
      <c r="O25" s="261"/>
      <c r="P25" s="261"/>
      <c r="Q25" s="261"/>
    </row>
    <row r="26" spans="2:18" s="710" customFormat="1" ht="33" customHeight="1">
      <c r="B26" s="106" t="s">
        <v>753</v>
      </c>
      <c r="C26" s="885" t="str">
        <f>IF(Deckblatt!G7="","Zweckgebundene Einzahlungen für die ordentliche Tilgung von Investitionskrediten für",CONCATENATE("Zweckgebundene Einzahlungen für die ordentliche Tilgung von Investitionskrediten für ",Deckblatt!G7))</f>
        <v>Zweckgebundene Einzahlungen für die ordentliche Tilgung von Investitionskrediten für</v>
      </c>
      <c r="D26" s="903"/>
      <c r="E26" s="260" t="str">
        <f>IF(ISBLANK(Finanzhaushalt!G33),"",(Finanzhaushalt!G14))</f>
        <v/>
      </c>
      <c r="F26" s="709"/>
      <c r="G26" s="114" t="s">
        <v>754</v>
      </c>
      <c r="I26" s="261"/>
      <c r="J26" s="261"/>
      <c r="K26" s="261"/>
      <c r="L26" s="261"/>
      <c r="M26" s="261"/>
      <c r="N26" s="261"/>
      <c r="O26" s="261"/>
      <c r="P26" s="261"/>
      <c r="Q26" s="261"/>
    </row>
    <row r="27" spans="2:18">
      <c r="B27" s="106"/>
      <c r="C27" s="249"/>
      <c r="D27" s="249"/>
      <c r="E27" s="149"/>
      <c r="F27" s="110"/>
      <c r="G27" s="254"/>
      <c r="I27" s="266" t="s">
        <v>180</v>
      </c>
      <c r="J27" s="261"/>
      <c r="K27" s="267"/>
      <c r="L27" s="261"/>
      <c r="M27" s="217" t="str">
        <f>IF(M4="","",SUM(M4:M22))</f>
        <v/>
      </c>
      <c r="N27" s="217"/>
      <c r="O27" s="217"/>
      <c r="P27" s="217"/>
      <c r="Q27" s="217"/>
      <c r="R27" s="217"/>
    </row>
    <row r="28" spans="2:18">
      <c r="C28" s="268" t="s">
        <v>181</v>
      </c>
      <c r="D28" s="110"/>
      <c r="E28" s="703"/>
      <c r="G28" s="147"/>
      <c r="I28" s="110"/>
      <c r="J28" s="110"/>
      <c r="K28" s="110"/>
      <c r="L28" s="110"/>
      <c r="M28" s="110"/>
      <c r="N28" s="322"/>
      <c r="O28" s="322"/>
      <c r="P28" s="322"/>
      <c r="Q28" s="110"/>
    </row>
    <row r="29" spans="2:18" ht="30.75" customHeight="1">
      <c r="C29" s="909" t="str">
        <f>IF(Deckblatt!G7="","Rechnerischer Hebesatz Grundsteuer B zum Erreichen des Ausgleichs im ordentlichen Ergebnis in v.H.",CONCATENATE("Rechnerischer Hebesatz Grundsteuer B zum Erreichen des Ausgleichs im ordentlichen Ergebnis in v.H. für ",Deckblatt!G7))</f>
        <v>Rechnerischer Hebesatz Grundsteuer B zum Erreichen des Ausgleichs im ordentlichen Ergebnis in v.H.</v>
      </c>
      <c r="D29" s="915"/>
      <c r="E29" s="287" t="str">
        <f>IF(Ergebnishaushalt!G31&gt;=0,"",'FAG und Abgaben'!E10+(((Ergebnishaushalt!G31)/('Details Ergebnishaushalt'!G9/'FAG und Abgaben'!E10*-1))))</f>
        <v/>
      </c>
      <c r="F29" s="216"/>
      <c r="G29" s="289" t="s">
        <v>245</v>
      </c>
      <c r="I29" s="909" t="s">
        <v>224</v>
      </c>
      <c r="J29" s="910"/>
      <c r="K29" s="910"/>
      <c r="L29" s="910"/>
      <c r="M29" s="910"/>
      <c r="N29" s="325"/>
      <c r="O29" s="325"/>
      <c r="P29" s="325"/>
      <c r="Q29" s="110"/>
    </row>
    <row r="30" spans="2:18" ht="47.25" customHeight="1">
      <c r="C30" s="904" t="str">
        <f>IF(Deckblatt!G7="","Fiktive Hebesatzanhebung Grundsteuer B zum Erreichen des Ausgleichs im ordentlichen Ergebnis in v.H.",CONCATENATE("Fiktive Hebesatzanhebung Grundsteuer B zum Erreichen des Ausgleichs im ordentlichen Ergebnis in v.H. für ",Deckblatt!G7))</f>
        <v>Fiktive Hebesatzanhebung Grundsteuer B zum Erreichen des Ausgleichs im ordentlichen Ergebnis in v.H.</v>
      </c>
      <c r="D30" s="891"/>
      <c r="E30" s="287" t="str">
        <f>IF(E4&lt;0,E29-'FAG und Abgaben'!E10,"")</f>
        <v/>
      </c>
      <c r="F30" s="216"/>
      <c r="G30" s="252" t="s">
        <v>245</v>
      </c>
      <c r="I30" s="906" t="s">
        <v>700</v>
      </c>
      <c r="J30" s="906"/>
      <c r="K30" s="906"/>
      <c r="L30" s="907"/>
      <c r="M30" s="907"/>
    </row>
    <row r="31" spans="2:18" s="375" customFormat="1" ht="42.75">
      <c r="B31" s="379"/>
      <c r="C31" s="800" t="str">
        <f>IF(Deckblatt!G7="","Bestand Rücklage aus Überschüssen des außerordentlichen Ergebnisses",CONCATENATE("Bestand Rücklage aus Überschüssen des außerordentlichen Ergebnisses zum 31.12.",Deckblatt!E14-1))</f>
        <v>Bestand Rücklage aus Überschüssen des außerordentlichen Ergebnisses</v>
      </c>
      <c r="D31" s="799"/>
      <c r="E31" s="210"/>
      <c r="F31" s="799"/>
      <c r="G31" s="801" t="s">
        <v>866</v>
      </c>
      <c r="H31" s="377"/>
      <c r="I31" s="833" t="s">
        <v>867</v>
      </c>
      <c r="J31" s="833"/>
      <c r="K31" s="833"/>
      <c r="L31" s="833"/>
      <c r="M31" s="833"/>
      <c r="N31" s="833"/>
      <c r="O31" s="382"/>
      <c r="P31" s="382"/>
    </row>
    <row r="32" spans="2:18" s="375" customFormat="1">
      <c r="B32" s="379"/>
      <c r="C32" s="109"/>
      <c r="D32" s="799"/>
      <c r="E32" s="209"/>
      <c r="F32" s="799"/>
      <c r="G32" s="801"/>
      <c r="H32" s="377"/>
      <c r="I32" s="833"/>
      <c r="J32" s="833"/>
      <c r="K32" s="833"/>
      <c r="L32" s="833"/>
      <c r="M32" s="833"/>
      <c r="N32" s="833"/>
    </row>
    <row r="33" spans="2:14" s="375" customFormat="1">
      <c r="B33" s="379"/>
      <c r="G33" s="376"/>
      <c r="H33" s="377"/>
      <c r="I33" s="833"/>
      <c r="J33" s="833"/>
      <c r="K33" s="833"/>
      <c r="L33" s="833"/>
      <c r="M33" s="833"/>
      <c r="N33" s="833"/>
    </row>
    <row r="34" spans="2:14" s="375" customFormat="1">
      <c r="B34" s="379"/>
      <c r="G34" s="376"/>
      <c r="H34" s="377"/>
      <c r="I34" s="833"/>
      <c r="J34" s="833"/>
      <c r="K34" s="833"/>
      <c r="L34" s="833"/>
      <c r="M34" s="833"/>
      <c r="N34" s="833"/>
    </row>
    <row r="35" spans="2:14" s="375" customFormat="1">
      <c r="B35" s="379"/>
      <c r="G35" s="376"/>
      <c r="H35" s="377"/>
      <c r="I35" s="833"/>
      <c r="J35" s="833"/>
      <c r="K35" s="833"/>
      <c r="L35" s="833"/>
      <c r="M35" s="833"/>
      <c r="N35" s="833"/>
    </row>
    <row r="36" spans="2:14" s="375" customFormat="1">
      <c r="B36" s="379"/>
      <c r="G36" s="376"/>
      <c r="H36" s="377"/>
      <c r="I36" s="833"/>
      <c r="J36" s="833"/>
      <c r="K36" s="833"/>
      <c r="L36" s="833"/>
      <c r="M36" s="833"/>
      <c r="N36" s="833"/>
    </row>
    <row r="37" spans="2:14" s="375" customFormat="1">
      <c r="B37" s="379"/>
      <c r="G37" s="376"/>
      <c r="H37" s="377"/>
      <c r="I37" s="833"/>
      <c r="J37" s="833"/>
      <c r="K37" s="833"/>
      <c r="L37" s="833"/>
      <c r="M37" s="833"/>
      <c r="N37" s="833"/>
    </row>
    <row r="38" spans="2:14" s="375" customFormat="1">
      <c r="B38" s="379"/>
      <c r="G38" s="376"/>
      <c r="H38" s="377"/>
      <c r="I38" s="833"/>
      <c r="J38" s="833"/>
      <c r="K38" s="833"/>
      <c r="L38" s="833"/>
      <c r="M38" s="833"/>
      <c r="N38" s="833"/>
    </row>
    <row r="39" spans="2:14" s="375" customFormat="1">
      <c r="B39" s="379"/>
      <c r="G39" s="376"/>
      <c r="H39" s="377"/>
      <c r="I39" s="833"/>
      <c r="J39" s="833"/>
      <c r="K39" s="833"/>
      <c r="L39" s="833"/>
      <c r="M39" s="833"/>
      <c r="N39" s="833"/>
    </row>
    <row r="40" spans="2:14" s="375" customFormat="1">
      <c r="B40" s="379"/>
      <c r="G40" s="376"/>
      <c r="H40" s="377"/>
      <c r="I40" s="833"/>
      <c r="J40" s="833"/>
      <c r="K40" s="833"/>
      <c r="L40" s="833"/>
      <c r="M40" s="833"/>
      <c r="N40" s="833"/>
    </row>
    <row r="41" spans="2:14" s="375" customFormat="1">
      <c r="B41" s="379"/>
      <c r="G41" s="376"/>
      <c r="H41" s="377"/>
      <c r="I41" s="833"/>
      <c r="J41" s="833"/>
      <c r="K41" s="833"/>
      <c r="L41" s="833"/>
      <c r="M41" s="833"/>
      <c r="N41" s="833"/>
    </row>
    <row r="42" spans="2:14" s="375" customFormat="1">
      <c r="B42" s="379"/>
      <c r="G42" s="376"/>
      <c r="H42" s="377"/>
      <c r="I42" s="833"/>
      <c r="J42" s="833"/>
      <c r="K42" s="833"/>
      <c r="L42" s="833"/>
      <c r="M42" s="833"/>
      <c r="N42" s="833"/>
    </row>
    <row r="43" spans="2:14" s="375" customFormat="1">
      <c r="B43" s="379"/>
      <c r="G43" s="376"/>
      <c r="H43" s="377"/>
      <c r="I43" s="833"/>
      <c r="J43" s="833"/>
      <c r="K43" s="833"/>
      <c r="L43" s="833"/>
      <c r="M43" s="833"/>
      <c r="N43" s="833"/>
    </row>
    <row r="44" spans="2:14" s="375" customFormat="1">
      <c r="B44" s="379"/>
      <c r="G44" s="376"/>
      <c r="H44" s="377"/>
      <c r="I44" s="833"/>
      <c r="J44" s="833"/>
      <c r="K44" s="833"/>
      <c r="L44" s="833"/>
      <c r="M44" s="833"/>
      <c r="N44" s="833"/>
    </row>
    <row r="45" spans="2:14" s="375" customFormat="1">
      <c r="B45" s="379"/>
      <c r="G45" s="376"/>
      <c r="H45" s="377"/>
      <c r="I45" s="833"/>
      <c r="J45" s="833"/>
      <c r="K45" s="833"/>
      <c r="L45" s="833"/>
      <c r="M45" s="833"/>
      <c r="N45" s="833"/>
    </row>
    <row r="46" spans="2:14" s="375" customFormat="1">
      <c r="B46" s="379"/>
      <c r="G46" s="376"/>
      <c r="H46" s="377"/>
      <c r="I46" s="833"/>
      <c r="J46" s="833"/>
      <c r="K46" s="833"/>
      <c r="L46" s="833"/>
      <c r="M46" s="833"/>
      <c r="N46" s="833"/>
    </row>
    <row r="47" spans="2:14" s="375" customFormat="1">
      <c r="B47" s="379"/>
      <c r="G47" s="376"/>
      <c r="H47" s="377"/>
      <c r="I47" s="802"/>
      <c r="J47" s="802"/>
      <c r="K47" s="802"/>
      <c r="L47" s="802"/>
      <c r="M47" s="382"/>
      <c r="N47" s="382"/>
    </row>
    <row r="48" spans="2:14" s="375" customFormat="1">
      <c r="B48" s="379"/>
      <c r="G48" s="376"/>
      <c r="H48" s="377"/>
      <c r="I48" s="802"/>
      <c r="J48" s="802"/>
      <c r="K48" s="802"/>
      <c r="L48" s="802"/>
      <c r="M48" s="802"/>
      <c r="N48" s="802"/>
    </row>
    <row r="49" spans="2:14" s="375" customFormat="1">
      <c r="B49" s="379"/>
      <c r="G49" s="376"/>
      <c r="H49" s="377"/>
      <c r="I49" s="802"/>
      <c r="J49" s="802"/>
      <c r="K49" s="802"/>
      <c r="L49" s="802"/>
      <c r="M49" s="802"/>
      <c r="N49" s="802"/>
    </row>
    <row r="50" spans="2:14" s="375" customFormat="1">
      <c r="B50" s="379"/>
      <c r="G50" s="376"/>
      <c r="H50" s="377"/>
      <c r="I50" s="803"/>
      <c r="J50" s="802"/>
      <c r="K50" s="802"/>
      <c r="L50" s="802"/>
      <c r="M50" s="802"/>
      <c r="N50" s="802"/>
    </row>
    <row r="51" spans="2:14" s="375" customFormat="1">
      <c r="B51" s="379"/>
      <c r="G51" s="376"/>
      <c r="I51" s="802"/>
      <c r="J51" s="802"/>
      <c r="K51" s="802"/>
      <c r="L51" s="802"/>
      <c r="M51" s="802"/>
      <c r="N51" s="802"/>
    </row>
    <row r="52" spans="2:14" s="375" customFormat="1">
      <c r="B52" s="379"/>
      <c r="G52" s="376"/>
      <c r="I52" s="802"/>
      <c r="J52" s="802"/>
      <c r="K52" s="802"/>
      <c r="L52" s="802"/>
      <c r="M52" s="802"/>
      <c r="N52" s="802"/>
    </row>
    <row r="53" spans="2:14" s="375" customFormat="1">
      <c r="B53" s="379"/>
      <c r="G53" s="376"/>
      <c r="I53" s="802"/>
      <c r="J53" s="802"/>
      <c r="K53" s="802"/>
      <c r="L53" s="802"/>
      <c r="M53" s="802"/>
      <c r="N53" s="802"/>
    </row>
    <row r="54" spans="2:14">
      <c r="I54" s="802"/>
      <c r="J54" s="802"/>
      <c r="K54" s="802"/>
      <c r="L54" s="802"/>
      <c r="M54" s="802"/>
      <c r="N54" s="802"/>
    </row>
    <row r="55" spans="2:14">
      <c r="I55" s="802"/>
      <c r="J55" s="802"/>
      <c r="K55" s="802"/>
      <c r="L55" s="802"/>
      <c r="M55" s="802"/>
      <c r="N55" s="802"/>
    </row>
    <row r="56" spans="2:14">
      <c r="I56" s="802"/>
      <c r="J56" s="802"/>
      <c r="K56" s="802"/>
      <c r="L56" s="802"/>
      <c r="M56" s="802"/>
      <c r="N56" s="802"/>
    </row>
    <row r="57" spans="2:14">
      <c r="I57" s="802"/>
      <c r="J57" s="802"/>
      <c r="K57" s="802"/>
      <c r="L57" s="802"/>
      <c r="M57" s="802"/>
      <c r="N57" s="802"/>
    </row>
    <row r="58" spans="2:14">
      <c r="I58" s="802"/>
      <c r="J58" s="802"/>
      <c r="K58" s="802"/>
      <c r="L58" s="802"/>
      <c r="M58" s="802"/>
      <c r="N58" s="802"/>
    </row>
  </sheetData>
  <sheetProtection algorithmName="SHA-512" hashValue="k74VOu08SrRhVoap4o8u3arJoAZNs22MSrjnt2DTOPJKHuPQhbt0+Wv242K9ZG5MZiwKkNLU71XMgYz61hIv4Q==" saltValue="VOmuoSs2TvA5J0NAINpxag==" spinCount="100000" sheet="1" objects="1" scenarios="1"/>
  <dataConsolidate/>
  <mergeCells count="13">
    <mergeCell ref="C30:D30"/>
    <mergeCell ref="C5:D5"/>
    <mergeCell ref="I30:M30"/>
    <mergeCell ref="A1:E1"/>
    <mergeCell ref="I29:M29"/>
    <mergeCell ref="C24:D24"/>
    <mergeCell ref="C23:D23"/>
    <mergeCell ref="I22:J22"/>
    <mergeCell ref="C22:D22"/>
    <mergeCell ref="I6:J6"/>
    <mergeCell ref="C29:D29"/>
    <mergeCell ref="C25:D25"/>
    <mergeCell ref="C26:D26"/>
  </mergeCells>
  <conditionalFormatting sqref="M27:R27">
    <cfRule type="iconSet" priority="38">
      <iconSet>
        <cfvo type="percent" val="0"/>
        <cfvo type="num" val="40" gte="0"/>
        <cfvo type="num" val="70"/>
      </iconSet>
    </cfRule>
    <cfRule type="expression" dxfId="65" priority="51">
      <formula>M23&gt;0</formula>
    </cfRule>
  </conditionalFormatting>
  <conditionalFormatting sqref="E29">
    <cfRule type="expression" priority="17">
      <formula>IFERROR(A2/A3,0)</formula>
    </cfRule>
    <cfRule type="containsErrors" dxfId="64" priority="56" stopIfTrue="1">
      <formula>ISERROR(E29)</formula>
    </cfRule>
  </conditionalFormatting>
  <conditionalFormatting sqref="E30">
    <cfRule type="expression" priority="10">
      <formula>IFERROR(A3/A4,0)</formula>
    </cfRule>
    <cfRule type="containsErrors" dxfId="63" priority="11" stopIfTrue="1">
      <formula>ISERROR(E30)</formula>
    </cfRule>
  </conditionalFormatting>
  <conditionalFormatting sqref="E5">
    <cfRule type="expression" dxfId="62" priority="1">
      <formula>E4&gt;=0</formula>
    </cfRule>
    <cfRule type="expression" dxfId="61" priority="3">
      <formula>$E$4&lt;0</formula>
    </cfRule>
  </conditionalFormatting>
  <dataValidations count="6">
    <dataValidation type="decimal" operator="greaterThanOrEqual" allowBlank="1" showInputMessage="1" showErrorMessage="1" error="Bitte keine negativen Werte eingeben. " sqref="E6 E31">
      <formula1>0</formula1>
    </dataValidation>
    <dataValidation type="decimal" operator="greaterThanOrEqual" allowBlank="1" showInputMessage="1" showErrorMessage="1" error="Bitte keiine negativen Werte eingeben. " sqref="E16">
      <formula1>0</formula1>
    </dataValidation>
    <dataValidation showErrorMessage="1" promptTitle="Bitte auswählen" sqref="G5"/>
    <dataValidation type="list" operator="equal" allowBlank="1" showInputMessage="1" showErrorMessage="1" sqref="E5">
      <formula1>INDIRECT($O$5)</formula1>
    </dataValidation>
    <dataValidation type="decimal" operator="greaterThanOrEqual" allowBlank="1" showInputMessage="1" showErrorMessage="1" error="Bitte keine negativen Werte eingeben." sqref="E8:E13">
      <formula1>0</formula1>
    </dataValidation>
    <dataValidation type="decimal" operator="greaterThanOrEqual" allowBlank="1" showInputMessage="1" error="Bitte keine negativen Werte eingeben. " sqref="E18 E24:E26">
      <formula1>0</formula1>
    </dataValidation>
  </dataValidations>
  <printOptions horizontalCentered="1" verticalCentered="1"/>
  <pageMargins left="0.31496062992125984" right="0.19685039370078741" top="0.70866141732283461" bottom="0.39370078740157483" header="0.39370078740157483" footer="0.23622047244094488"/>
  <pageSetup paperSize="9"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view="pageLayout" topLeftCell="A10" zoomScale="85" zoomScaleNormal="74" zoomScalePageLayoutView="85" workbookViewId="0">
      <selection activeCell="E20" sqref="E20"/>
    </sheetView>
  </sheetViews>
  <sheetFormatPr baseColWidth="10" defaultColWidth="11" defaultRowHeight="15"/>
  <cols>
    <col min="1" max="1" width="2.75" style="730" customWidth="1"/>
    <col min="2" max="2" width="3.5" style="105" customWidth="1"/>
    <col min="3" max="3" width="42.375" style="730" customWidth="1"/>
    <col min="4" max="4" width="12.625" style="730" customWidth="1"/>
    <col min="5" max="5" width="18.125" style="730" customWidth="1"/>
    <col min="6" max="6" width="2.125" style="730" customWidth="1"/>
    <col min="7" max="7" width="59.75" style="735" customWidth="1"/>
    <col min="8" max="8" width="5.125" style="730" customWidth="1"/>
    <col min="9" max="9" width="38" style="730" customWidth="1"/>
    <col min="10" max="10" width="13.75" style="730" customWidth="1"/>
    <col min="11" max="11" width="16" style="730" customWidth="1"/>
    <col min="12" max="12" width="13.125" style="730" customWidth="1"/>
    <col min="13" max="14" width="11" style="730"/>
    <col min="15" max="15" width="13.75" style="730" hidden="1" customWidth="1"/>
    <col min="16" max="16" width="11" style="730"/>
    <col min="17" max="17" width="12.625" style="730" customWidth="1"/>
    <col min="18" max="18" width="13.75" style="730" hidden="1" customWidth="1"/>
    <col min="19" max="16384" width="11" style="730"/>
  </cols>
  <sheetData>
    <row r="1" spans="1:18" ht="15.75">
      <c r="A1" s="908" t="str">
        <f>IF(Deckblatt!$G$7="","Angaben zur Beurteilung der dauernden finanziellen Leistungsfähigkeit",CONCATENATE("Angaben zur Beurteilung der dauernden finanziellen Leistungsfähigkeit für ",Deckblatt!$G$7-2))</f>
        <v>Angaben zur Beurteilung der dauernden finanziellen Leistungsfähigkeit</v>
      </c>
      <c r="B1" s="908"/>
      <c r="C1" s="908"/>
      <c r="D1" s="908"/>
      <c r="E1" s="908"/>
      <c r="F1" s="109"/>
      <c r="G1" s="111"/>
      <c r="H1" s="109"/>
      <c r="I1" s="212" t="s">
        <v>177</v>
      </c>
      <c r="J1" s="724"/>
      <c r="K1" s="724"/>
      <c r="L1" s="724"/>
      <c r="M1" s="724"/>
      <c r="N1" s="724"/>
      <c r="O1" s="327" t="s">
        <v>119</v>
      </c>
      <c r="P1" s="724"/>
      <c r="Q1" s="724"/>
      <c r="R1" s="320" t="s">
        <v>694</v>
      </c>
    </row>
    <row r="2" spans="1:18" ht="14.25" customHeight="1">
      <c r="C2" s="109"/>
      <c r="D2" s="109"/>
      <c r="E2" s="83"/>
      <c r="G2" s="112" t="s">
        <v>47</v>
      </c>
      <c r="H2" s="109"/>
      <c r="I2" s="214"/>
      <c r="J2" s="724"/>
      <c r="K2" s="724"/>
      <c r="L2" s="724"/>
      <c r="M2" s="724"/>
      <c r="N2" s="724"/>
      <c r="O2" s="327" t="s">
        <v>693</v>
      </c>
      <c r="P2" s="724"/>
      <c r="Q2" s="724"/>
      <c r="R2" s="320" t="s">
        <v>693</v>
      </c>
    </row>
    <row r="3" spans="1:18">
      <c r="D3" s="109"/>
      <c r="E3" s="113" t="s">
        <v>118</v>
      </c>
      <c r="F3" s="109"/>
      <c r="G3" s="111"/>
      <c r="H3" s="109"/>
      <c r="I3" s="214"/>
      <c r="J3" s="724"/>
      <c r="K3" s="724"/>
      <c r="L3" s="215"/>
      <c r="M3" s="729" t="s">
        <v>178</v>
      </c>
      <c r="N3" s="729"/>
      <c r="O3" s="327" t="s">
        <v>692</v>
      </c>
      <c r="P3" s="729"/>
      <c r="Q3" s="724"/>
      <c r="R3" s="320" t="s">
        <v>692</v>
      </c>
    </row>
    <row r="4" spans="1:18" ht="30.75" customHeight="1">
      <c r="B4" s="105" t="s">
        <v>111</v>
      </c>
      <c r="C4" s="108" t="str">
        <f>IF(Deckblatt!$G$7="","Ordentliches Ergebnis",CONCATENATE("Ordentliches Ergebnis für ",Deckblatt!$G$7-2))</f>
        <v>Ordentliches Ergebnis</v>
      </c>
      <c r="D4" s="727"/>
      <c r="E4" s="326" t="str">
        <f>Ergebnishaushalt!E31</f>
        <v/>
      </c>
      <c r="F4" s="727"/>
      <c r="G4" s="329" t="s">
        <v>172</v>
      </c>
      <c r="I4" s="108" t="str">
        <f>IF(Deckblatt!$G$7="","Ordentliches Ergebnis je Einwohner",CONCATENATE("Ordentliches Ergebnis je Einwohner für ",Deckblatt!$G$14))</f>
        <v>Ordentliches Ergebnis je Einwohner</v>
      </c>
      <c r="J4" s="261"/>
      <c r="K4" s="262" t="str">
        <f>IF(E4="","",E4/Deckblatt!C10)</f>
        <v/>
      </c>
      <c r="L4" s="261"/>
      <c r="M4" s="217" t="str">
        <f>IF(K4="","",IF(M5=30,1*0,IF(K4&gt;5,1*40,IF(K4&gt;=-5,0.75*40,IF(K4&gt;=-40,0.5*40,IF(K4&gt;=-75,0.25*40,IF(K4&lt;-75,1*0)))))))</f>
        <v/>
      </c>
      <c r="N4" s="217"/>
      <c r="O4" s="217"/>
      <c r="P4" s="217"/>
      <c r="Q4" s="263"/>
    </row>
    <row r="5" spans="1:18" ht="78" customHeight="1">
      <c r="C5" s="885" t="str">
        <f>IF(E4&lt;0,"Bei einem Fehlbetrag im ordentlichen Ergebnis bitte nebenstehend auswählen, ob ein Ausgleich des Defizits durch die Inanspruchnahme der ordentlichen Rücklage nach § 92 Abs. 6 Nr. 1 HGO beim Jahresabschluss erfolgen kann.","")</f>
        <v/>
      </c>
      <c r="D5" s="905"/>
      <c r="E5" s="394" t="s">
        <v>119</v>
      </c>
      <c r="F5" s="109"/>
      <c r="G5" s="328"/>
      <c r="I5" s="261">
        <v>2954907</v>
      </c>
      <c r="J5" s="261"/>
      <c r="K5" s="261"/>
      <c r="L5" s="261"/>
      <c r="M5" s="217" t="str">
        <f>IF(AND(E4&lt;0,E5="ja"),30,"")</f>
        <v/>
      </c>
      <c r="N5" s="217"/>
      <c r="O5" s="391" t="str">
        <f>IF(E4&lt;0,"Auswahlliste","")</f>
        <v/>
      </c>
      <c r="P5" s="217"/>
      <c r="Q5" s="261"/>
    </row>
    <row r="6" spans="1:18" ht="48" customHeight="1">
      <c r="B6" s="105" t="s">
        <v>112</v>
      </c>
      <c r="C6" s="733" t="str">
        <f>IF(Deckblatt!G7="","Rechnerischer Bestand der Rücklage aus Überschüssen des ordentlichen Ergebnisses vor Ergebnisverwendung",CONCATENATE("Rechnerischer Bestand der Rücklage aus Überschüssen des ordentlichen Ergebnisses vor Ergebnisverwendung zum 31.12.",Deckblatt!E14-2))</f>
        <v>Rechnerischer Bestand der Rücklage aus Überschüssen des ordentlichen Ergebnisses vor Ergebnisverwendung</v>
      </c>
      <c r="D6" s="727"/>
      <c r="E6" s="210"/>
      <c r="F6" s="727"/>
      <c r="G6" s="734" t="s">
        <v>835</v>
      </c>
      <c r="I6" s="913" t="str">
        <f>IF(Deckblatt!G7="","Bestand Rücklage aus Überschüssen des ordentlichen Ergebnisses",CONCATENATE("Bestand Rücklage aus Überschüssen des ordentlichen Ergebnisses zum 31.12. ",Deckblatt!E14-2))</f>
        <v>Bestand Rücklage aus Überschüssen des ordentlichen Ergebnisses</v>
      </c>
      <c r="J6" s="914"/>
      <c r="K6" s="264" t="str">
        <f>IF(E6="","",E6)</f>
        <v/>
      </c>
      <c r="L6" s="261"/>
      <c r="M6" s="217" t="str">
        <f>IF(K6="","",IF(K6&gt;0,1*0.05*100,0))</f>
        <v/>
      </c>
      <c r="N6" s="217"/>
      <c r="O6" s="392"/>
      <c r="P6" s="217"/>
      <c r="Q6" s="261"/>
    </row>
    <row r="7" spans="1:18" ht="8.25" customHeight="1">
      <c r="C7" s="109"/>
      <c r="D7" s="727"/>
      <c r="E7" s="209"/>
      <c r="F7" s="727"/>
      <c r="G7" s="734"/>
      <c r="I7" s="261"/>
      <c r="J7" s="261"/>
      <c r="K7" s="261"/>
      <c r="L7" s="261"/>
      <c r="M7" s="261"/>
      <c r="N7" s="261"/>
      <c r="O7" s="393"/>
      <c r="P7" s="261"/>
      <c r="Q7" s="261"/>
    </row>
    <row r="8" spans="1:18" ht="42.75">
      <c r="B8" s="105" t="s">
        <v>113</v>
      </c>
      <c r="C8" s="733" t="str">
        <f>IF(Deckblatt!$G$7="","Ordentliche Fehlbeträge aus Vorjahren",CONCATENATE("Ordentliche Fehlbeträge aus Vorjahren (Bilanzwert) zum 31.12.",Deckblatt!$G$7-2))</f>
        <v>Ordentliche Fehlbeträge aus Vorjahren</v>
      </c>
      <c r="D8" s="726"/>
      <c r="E8" s="208"/>
      <c r="F8" s="727"/>
      <c r="G8" s="734" t="s">
        <v>873</v>
      </c>
      <c r="I8" s="108" t="s">
        <v>731</v>
      </c>
      <c r="J8" s="261"/>
      <c r="K8" s="264" t="str">
        <f>IF(E8="","",E8)</f>
        <v/>
      </c>
      <c r="L8" s="261"/>
      <c r="M8" s="718" t="str">
        <f>IF(E4="","",IF(E8&gt;0,0,5))</f>
        <v/>
      </c>
      <c r="N8" s="217"/>
      <c r="O8" s="217"/>
      <c r="P8" s="217"/>
      <c r="Q8" s="261"/>
    </row>
    <row r="9" spans="1:18">
      <c r="B9" s="730"/>
      <c r="C9" s="726"/>
      <c r="D9" s="727"/>
      <c r="E9" s="700"/>
      <c r="F9" s="727"/>
      <c r="G9" s="734"/>
      <c r="I9" s="108"/>
      <c r="J9" s="261"/>
      <c r="K9" s="264"/>
      <c r="L9" s="261"/>
      <c r="M9" s="217"/>
      <c r="N9" s="217"/>
      <c r="O9" s="217"/>
      <c r="P9" s="217"/>
      <c r="Q9" s="261"/>
    </row>
    <row r="10" spans="1:18">
      <c r="B10" s="105" t="s">
        <v>114</v>
      </c>
      <c r="C10" s="699" t="s">
        <v>712</v>
      </c>
      <c r="D10" s="727"/>
      <c r="E10" s="700"/>
      <c r="F10" s="727"/>
      <c r="G10" s="734"/>
      <c r="I10" s="108"/>
      <c r="J10" s="261"/>
      <c r="K10" s="264"/>
      <c r="L10" s="261"/>
      <c r="M10" s="217"/>
      <c r="N10" s="217"/>
      <c r="O10" s="217"/>
      <c r="P10" s="217"/>
      <c r="Q10" s="261"/>
    </row>
    <row r="11" spans="1:18" ht="71.25">
      <c r="B11" s="105" t="s">
        <v>188</v>
      </c>
      <c r="C11" s="726" t="str">
        <f>IF(Deckblatt!$G$7="","Mindestbetrag der nach § 106 Abs. 1 S. 2 HGO vorzuhaltenden Liquiditätsreserve für",CONCATENATE("Mindestbetrag der nach § 106 Abs. 1 S. 2 HGO vorzuhaltenden Liquiditätsreserve für ",Deckblatt!$E$14-2))</f>
        <v>Mindestbetrag der nach § 106 Abs. 1 S. 2 HGO vorzuhaltenden Liquiditätsreserve für</v>
      </c>
      <c r="D11" s="727"/>
      <c r="E11" s="707"/>
      <c r="F11" s="727"/>
      <c r="G11" s="734" t="s">
        <v>836</v>
      </c>
      <c r="I11" s="108"/>
      <c r="J11" s="261"/>
      <c r="K11" s="264"/>
      <c r="L11" s="261"/>
      <c r="M11" s="217"/>
      <c r="N11" s="217"/>
      <c r="O11" s="217"/>
      <c r="P11" s="217"/>
      <c r="Q11" s="261"/>
    </row>
    <row r="12" spans="1:18" ht="30">
      <c r="B12" s="105" t="s">
        <v>189</v>
      </c>
      <c r="C12" s="726" t="str">
        <f>IF(Deckblatt!$G$7="","Höhe der tatsächlich vorgehaltenen Liquiditätsreserve",CONCATENATE("Höhe der tatsächlich vorgehaltenen Liquiditätsreserve am 31.12.",Deckblatt!$E$14-2))</f>
        <v>Höhe der tatsächlich vorgehaltenen Liquiditätsreserve</v>
      </c>
      <c r="D12" s="727"/>
      <c r="E12" s="708"/>
      <c r="F12" s="727"/>
      <c r="G12" s="734" t="s">
        <v>837</v>
      </c>
      <c r="I12" s="108" t="str">
        <f>IF(ISERROR(E12/E11),"",IF(E12/E11&gt;=1,"Die Liquiditätsreserve wurde vollständig gebildet",IF(E12/E11&gt;=0.5,"Die Liquiditätsreserve wurde teilweise gebildet",IF(E12/E11&lt;0.5,"Die Liquiditätsreserve wurde unvollständig gebildet",))))</f>
        <v/>
      </c>
      <c r="J12" s="261"/>
      <c r="K12" s="264"/>
      <c r="L12" s="261"/>
      <c r="M12" s="217" t="str">
        <f>IF(ISERROR(E11/E12),"",IF(E12=0,0*0,IF(E12/E11&lt;0.5,1*0,IF(E12/E11&lt;1,0.5*5,IF(E12/E11&gt;=1,1*5)))))</f>
        <v/>
      </c>
      <c r="N12" s="217"/>
      <c r="O12" s="217"/>
      <c r="P12" s="217"/>
      <c r="Q12" s="261"/>
    </row>
    <row r="13" spans="1:18">
      <c r="C13" s="726"/>
      <c r="D13" s="727"/>
      <c r="E13" s="700"/>
      <c r="F13" s="727"/>
      <c r="G13" s="734"/>
      <c r="I13" s="108"/>
      <c r="J13" s="261"/>
      <c r="K13" s="264"/>
      <c r="L13" s="261"/>
      <c r="M13" s="217"/>
      <c r="N13" s="217"/>
      <c r="O13" s="217"/>
      <c r="P13" s="217"/>
      <c r="Q13" s="261"/>
    </row>
    <row r="14" spans="1:18" ht="28.5">
      <c r="B14" s="105" t="s">
        <v>116</v>
      </c>
      <c r="C14" s="726" t="str">
        <f>IF(Deckblatt!$G$7="","Bestand an Eigenkapital",CONCATENATE("Bestand an Eigenkapital am 31.12.",Deckblatt!$E$14-2))</f>
        <v>Bestand an Eigenkapital</v>
      </c>
      <c r="D14" s="154"/>
      <c r="E14" s="208"/>
      <c r="F14" s="131"/>
      <c r="G14" s="132" t="s">
        <v>838</v>
      </c>
      <c r="I14" s="108" t="s">
        <v>115</v>
      </c>
      <c r="J14" s="261"/>
      <c r="K14" s="264" t="str">
        <f>IF(E14="","",E14)</f>
        <v/>
      </c>
      <c r="L14" s="261"/>
      <c r="M14" s="217" t="str">
        <f>IF(K14="","",IF(K14&gt;0,1*0.05*100,0))</f>
        <v/>
      </c>
      <c r="N14" s="217"/>
      <c r="O14" s="217"/>
      <c r="P14" s="217"/>
      <c r="Q14" s="261"/>
    </row>
    <row r="15" spans="1:18">
      <c r="C15" s="108"/>
      <c r="D15" s="727"/>
      <c r="E15" s="115"/>
      <c r="F15" s="727"/>
      <c r="I15" s="261"/>
      <c r="J15" s="261"/>
      <c r="K15" s="261"/>
      <c r="L15" s="261"/>
      <c r="M15" s="261"/>
      <c r="N15" s="261"/>
      <c r="O15" s="261"/>
      <c r="P15" s="261"/>
      <c r="Q15" s="261"/>
    </row>
    <row r="16" spans="1:18" ht="45">
      <c r="B16" s="105" t="s">
        <v>117</v>
      </c>
      <c r="C16" s="733" t="str">
        <f>IF(Deckblatt!$G$7="","Höhe der Verbindlichkeiten aus Liquiditätskrediten (Kernverwaltung und Sondervermögen",CONCATENATE("Höhe der  Verbindlichkeiten aus Liquiditätskrediten (Kernverwaltung und Sondervermögen) zum 31.12.",Deckblatt!$E$14-2))</f>
        <v>Höhe der Verbindlichkeiten aus Liquiditätskrediten (Kernverwaltung und Sondervermögen</v>
      </c>
      <c r="D16" s="727"/>
      <c r="E16" s="208"/>
      <c r="F16" s="727"/>
      <c r="G16" s="114" t="s">
        <v>839</v>
      </c>
      <c r="I16" s="733" t="str">
        <f>IF(Deckblatt!$G$7="","Höhe der Liquiditätskreditverbindlichkeiten (Kernverwaltung und Sondervermögen) ",CONCATENATE("Höhe der Verbindlichkeiten aus Liquiditätskrediten (Kernverwaltung und Sondervermögen) zum 31.12.",Deckblatt!$E$14-2))</f>
        <v xml:space="preserve">Höhe der Liquiditätskreditverbindlichkeiten (Kernverwaltung und Sondervermögen) </v>
      </c>
      <c r="J16" s="261"/>
      <c r="K16" s="262" t="str">
        <f>IF(E16="","",E16)</f>
        <v/>
      </c>
      <c r="L16" s="261"/>
      <c r="M16" s="718" t="str">
        <f>IF(E4="","",IF(E16="",1*5,IF(E16&lt;=0,1*5,0)))</f>
        <v/>
      </c>
      <c r="N16" s="217"/>
      <c r="O16" s="217"/>
      <c r="P16" s="217"/>
      <c r="Q16" s="261"/>
    </row>
    <row r="17" spans="2:18">
      <c r="C17" s="108"/>
      <c r="D17" s="727"/>
      <c r="E17" s="712"/>
      <c r="F17" s="727"/>
      <c r="G17" s="734"/>
      <c r="I17" s="261"/>
      <c r="J17" s="261"/>
      <c r="K17" s="261"/>
      <c r="L17" s="261"/>
      <c r="M17" s="719"/>
      <c r="N17" s="261"/>
      <c r="O17" s="261"/>
      <c r="P17" s="261"/>
      <c r="Q17" s="261"/>
    </row>
    <row r="18" spans="2:18" ht="30">
      <c r="B18" s="105" t="s">
        <v>736</v>
      </c>
      <c r="C18" s="726" t="str">
        <f>IF(Deckblatt!$G$7="","Höhe der Verbindlichkeiten gegenüber dem Sondervermögen Hessenkasse",CONCATENATE("Höhe der  Verbindlichkeiten gegenüber dem Sondervermögen Hessenkasse zum 31.12.",Deckblatt!$E$14-2))</f>
        <v>Höhe der Verbindlichkeiten gegenüber dem Sondervermögen Hessenkasse</v>
      </c>
      <c r="D18" s="261"/>
      <c r="E18" s="208"/>
      <c r="F18" s="727"/>
      <c r="G18" s="114" t="s">
        <v>840</v>
      </c>
      <c r="I18" s="795" t="str">
        <f>IF(Deckblatt!$G$7="","Höhe der Verbindlichkeiten gegenüber dem Sondervermögen Hessenkasse",CONCATENATE("Höhe der  Verbindlichkeiten gegenüber dem Sondervermögen Hessenkasse zum 31.12.",Deckblatt!$E$14-2))</f>
        <v>Höhe der Verbindlichkeiten gegenüber dem Sondervermögen Hessenkasse</v>
      </c>
      <c r="J18" s="261"/>
      <c r="K18" s="262" t="str">
        <f>IF(E18="","",E18)</f>
        <v/>
      </c>
      <c r="L18" s="261"/>
      <c r="M18" s="718" t="str">
        <f>IF(E4="","",IF(E18="",1*5,IF(E18&gt;0,0*5,IF(E18=0,1*5))))</f>
        <v/>
      </c>
      <c r="N18" s="261"/>
      <c r="O18" s="261"/>
      <c r="P18" s="261"/>
      <c r="Q18" s="261"/>
    </row>
    <row r="19" spans="2:18">
      <c r="C19" s="108"/>
      <c r="D19" s="261"/>
      <c r="E19" s="712"/>
      <c r="F19" s="727"/>
      <c r="G19" s="734"/>
      <c r="I19" s="261"/>
      <c r="J19" s="261"/>
      <c r="K19" s="261"/>
      <c r="L19" s="261"/>
      <c r="M19" s="261"/>
      <c r="N19" s="261"/>
      <c r="O19" s="261"/>
      <c r="P19" s="261"/>
      <c r="Q19" s="261"/>
    </row>
    <row r="20" spans="2:18" ht="76.5" customHeight="1">
      <c r="B20" s="106" t="s">
        <v>740</v>
      </c>
      <c r="C20" s="912" t="s">
        <v>841</v>
      </c>
      <c r="D20" s="912"/>
      <c r="E20" s="259" t="str">
        <f>IF(ISBLANK(E21),"",SUM(E21)-SUM(E22)-SUM(E23)+SUM(E24))</f>
        <v/>
      </c>
      <c r="F20" s="727"/>
      <c r="G20" s="218" t="s">
        <v>755</v>
      </c>
      <c r="I20" s="911" t="s">
        <v>865</v>
      </c>
      <c r="J20" s="911"/>
      <c r="K20" s="265" t="str">
        <f>IF(E20="","",E20/Deckblatt!$C$10)</f>
        <v/>
      </c>
      <c r="L20" s="261"/>
      <c r="M20" s="217" t="str">
        <f>IF(K20="","",IF(K20&gt;5,1*30,IF(K20&gt;=0,0.5*30,IF(K20&lt;0,1*0))))</f>
        <v/>
      </c>
      <c r="N20" s="217"/>
      <c r="O20" s="217"/>
      <c r="P20" s="217"/>
      <c r="Q20" s="261"/>
      <c r="R20" s="220"/>
    </row>
    <row r="21" spans="2:18" ht="36" customHeight="1">
      <c r="B21" s="106" t="s">
        <v>741</v>
      </c>
      <c r="C21" s="885" t="str">
        <f>IF(Deckblatt!G7="","Zahlungsmittelfluss aus laufender Verwaltungstätigkeit",CONCATENATE("Zahlungsmittelfluss aus laufender Verwaltungstätigkeit für ",Deckblatt!G7-2))</f>
        <v>Zahlungsmittelfluss aus laufender Verwaltungstätigkeit</v>
      </c>
      <c r="D21" s="903"/>
      <c r="E21" s="288"/>
      <c r="F21" s="727"/>
      <c r="G21" s="114"/>
      <c r="I21" s="261"/>
      <c r="J21" s="261"/>
      <c r="K21" s="261"/>
      <c r="L21" s="261"/>
      <c r="M21" s="261"/>
      <c r="N21" s="261"/>
      <c r="O21" s="261"/>
      <c r="P21" s="261"/>
      <c r="Q21" s="261"/>
    </row>
    <row r="22" spans="2:18" ht="33" customHeight="1">
      <c r="B22" s="106" t="s">
        <v>742</v>
      </c>
      <c r="C22" s="885" t="str">
        <f>IF(Deckblatt!G7="","Ordentliche Tilgung",CONCATENATE("Ordentliche Tilgung für ",Deckblatt!G7-2))</f>
        <v>Ordentliche Tilgung</v>
      </c>
      <c r="D22" s="903"/>
      <c r="E22" s="208"/>
      <c r="F22" s="727"/>
      <c r="G22" s="114"/>
      <c r="I22" s="261"/>
      <c r="J22" s="261"/>
      <c r="K22" s="261"/>
      <c r="L22" s="261"/>
      <c r="M22" s="261"/>
      <c r="N22" s="261"/>
      <c r="O22" s="261"/>
      <c r="P22" s="261"/>
      <c r="Q22" s="261"/>
    </row>
    <row r="23" spans="2:18" ht="33" customHeight="1">
      <c r="B23" s="106" t="s">
        <v>746</v>
      </c>
      <c r="C23" s="885" t="str">
        <f>IF(Deckblatt!G7="","Zahlungen an das Sondervermögen Hessenkasse für",CONCATENATE("Zahlungen an das Sondervermögen Hessenkasse für ",Deckblatt!G7-2))</f>
        <v>Zahlungen an das Sondervermögen Hessenkasse für</v>
      </c>
      <c r="D23" s="903"/>
      <c r="E23" s="208"/>
      <c r="F23" s="727"/>
      <c r="G23" s="114"/>
      <c r="I23" s="261"/>
      <c r="J23" s="261"/>
      <c r="K23" s="261"/>
      <c r="L23" s="261"/>
      <c r="M23" s="261"/>
      <c r="N23" s="261"/>
      <c r="O23" s="261"/>
      <c r="P23" s="261"/>
      <c r="Q23" s="261"/>
    </row>
    <row r="24" spans="2:18" ht="33" customHeight="1">
      <c r="B24" s="106" t="s">
        <v>753</v>
      </c>
      <c r="C24" s="885" t="str">
        <f>IF(Deckblatt!G7="","Zweckgebundene Einzahlungen für die ordentliche Tilgung von Investitionskrediten für",CONCATENATE("Zweckgebundene Einzahlungen für die ordentliche Tilgung von Investitionskrediten für ",Deckblatt!G7-2))</f>
        <v>Zweckgebundene Einzahlungen für die ordentliche Tilgung von Investitionskrediten für</v>
      </c>
      <c r="D24" s="903"/>
      <c r="E24" s="208"/>
      <c r="F24" s="727"/>
      <c r="G24" s="114"/>
      <c r="I24" s="261"/>
      <c r="J24" s="261"/>
      <c r="K24" s="261"/>
      <c r="L24" s="261"/>
      <c r="M24" s="261"/>
      <c r="N24" s="261"/>
      <c r="O24" s="261"/>
      <c r="P24" s="261"/>
      <c r="Q24" s="261"/>
    </row>
    <row r="25" spans="2:18">
      <c r="B25" s="106"/>
      <c r="C25" s="725"/>
      <c r="D25" s="725"/>
      <c r="E25" s="149"/>
      <c r="F25" s="727"/>
      <c r="I25" s="266" t="s">
        <v>842</v>
      </c>
      <c r="J25" s="261"/>
      <c r="K25" s="267"/>
      <c r="L25" s="261"/>
      <c r="M25" s="217" t="str">
        <f>IF(M4="","",SUM(M4:M20))</f>
        <v/>
      </c>
      <c r="N25" s="217"/>
      <c r="O25" s="217"/>
      <c r="P25" s="217"/>
      <c r="Q25" s="217"/>
      <c r="R25" s="217"/>
    </row>
    <row r="26" spans="2:18">
      <c r="C26" s="268" t="s">
        <v>181</v>
      </c>
      <c r="D26" s="727"/>
      <c r="G26" s="734"/>
      <c r="I26" s="727"/>
      <c r="J26" s="727"/>
      <c r="K26" s="727"/>
      <c r="L26" s="727"/>
      <c r="M26" s="727"/>
      <c r="N26" s="727"/>
      <c r="O26" s="727"/>
      <c r="P26" s="727"/>
      <c r="Q26" s="727"/>
    </row>
    <row r="27" spans="2:18" ht="30.75" customHeight="1">
      <c r="C27" s="909" t="str">
        <f>IF(Deckblatt!$G$7="","Kash-Wert nach Planung",CONCATENATE("Kash-Wert nach Planung für ",Deckblatt!$E$14-2))</f>
        <v>Kash-Wert nach Planung</v>
      </c>
      <c r="D27" s="915"/>
      <c r="E27" s="208"/>
      <c r="F27" s="729"/>
      <c r="G27" s="289"/>
      <c r="I27" s="731" t="s">
        <v>843</v>
      </c>
      <c r="J27" s="732"/>
      <c r="K27" s="732"/>
      <c r="L27" s="732"/>
      <c r="M27" s="217" t="str">
        <f>IF(E27="","",SUM(E27))</f>
        <v/>
      </c>
      <c r="N27" s="732"/>
      <c r="O27" s="732"/>
      <c r="P27" s="732"/>
      <c r="Q27" s="727"/>
    </row>
    <row r="28" spans="2:18" ht="47.25" customHeight="1">
      <c r="C28" s="904"/>
      <c r="D28" s="891"/>
      <c r="E28" s="287"/>
      <c r="F28" s="729"/>
      <c r="G28" s="252"/>
      <c r="I28" s="906"/>
      <c r="J28" s="906"/>
      <c r="K28" s="906"/>
      <c r="L28" s="907"/>
      <c r="M28" s="907"/>
    </row>
    <row r="29" spans="2:18" s="727" customFormat="1">
      <c r="B29" s="379"/>
      <c r="C29" s="266"/>
      <c r="D29" s="266"/>
      <c r="E29" s="380"/>
      <c r="F29" s="266"/>
      <c r="G29" s="728"/>
      <c r="H29" s="736"/>
      <c r="I29" s="736"/>
      <c r="J29" s="736"/>
      <c r="K29" s="736"/>
      <c r="L29" s="736"/>
      <c r="M29" s="736"/>
      <c r="N29" s="736"/>
    </row>
    <row r="30" spans="2:18" s="727" customFormat="1">
      <c r="B30" s="379"/>
      <c r="C30" s="381"/>
      <c r="D30" s="266"/>
      <c r="E30" s="266"/>
      <c r="F30" s="266"/>
      <c r="G30" s="728"/>
      <c r="H30" s="736"/>
      <c r="I30" s="736"/>
      <c r="J30" s="736"/>
      <c r="K30" s="736"/>
      <c r="L30" s="736"/>
      <c r="M30" s="378"/>
      <c r="N30" s="378"/>
      <c r="O30" s="382"/>
      <c r="P30" s="382"/>
    </row>
    <row r="31" spans="2:18" s="727" customFormat="1">
      <c r="B31" s="379"/>
      <c r="C31" s="153"/>
      <c r="D31" s="266"/>
      <c r="E31" s="383"/>
      <c r="F31" s="266"/>
      <c r="G31" s="384"/>
      <c r="H31" s="736"/>
      <c r="I31" s="736"/>
      <c r="J31" s="736"/>
      <c r="K31" s="736"/>
      <c r="L31" s="736"/>
      <c r="M31" s="736"/>
      <c r="N31" s="736"/>
    </row>
    <row r="32" spans="2:18" s="727" customFormat="1">
      <c r="B32" s="379"/>
      <c r="G32" s="734"/>
      <c r="H32" s="736"/>
      <c r="I32" s="736"/>
      <c r="J32" s="736"/>
      <c r="K32" s="736"/>
      <c r="L32" s="736"/>
      <c r="M32" s="736"/>
      <c r="N32" s="736"/>
    </row>
    <row r="33" spans="2:14" s="727" customFormat="1">
      <c r="B33" s="379"/>
      <c r="G33" s="734"/>
      <c r="H33" s="736"/>
      <c r="I33" s="736"/>
      <c r="J33" s="736"/>
      <c r="K33" s="736"/>
      <c r="L33" s="736"/>
      <c r="M33" s="736"/>
      <c r="N33" s="736"/>
    </row>
    <row r="34" spans="2:14" s="727" customFormat="1">
      <c r="B34" s="379"/>
      <c r="G34" s="734"/>
      <c r="H34" s="736"/>
      <c r="I34" s="736"/>
      <c r="J34" s="736"/>
      <c r="K34" s="736"/>
      <c r="L34" s="736"/>
      <c r="M34" s="736"/>
      <c r="N34" s="736"/>
    </row>
    <row r="35" spans="2:14" s="727" customFormat="1">
      <c r="B35" s="379"/>
      <c r="G35" s="734"/>
      <c r="H35" s="736"/>
      <c r="I35" s="736"/>
      <c r="J35" s="736"/>
      <c r="K35" s="736"/>
      <c r="L35" s="736"/>
      <c r="M35" s="736"/>
      <c r="N35" s="736"/>
    </row>
    <row r="36" spans="2:14" s="727" customFormat="1">
      <c r="B36" s="379"/>
      <c r="G36" s="734"/>
      <c r="H36" s="736"/>
      <c r="I36" s="736"/>
      <c r="J36" s="736"/>
      <c r="K36" s="736"/>
      <c r="L36" s="736"/>
      <c r="M36" s="736"/>
      <c r="N36" s="736"/>
    </row>
    <row r="37" spans="2:14" s="727" customFormat="1">
      <c r="B37" s="379"/>
      <c r="G37" s="734"/>
      <c r="H37" s="736"/>
      <c r="I37" s="736"/>
      <c r="J37" s="736"/>
      <c r="K37" s="736"/>
      <c r="L37" s="736"/>
      <c r="M37" s="736"/>
      <c r="N37" s="736"/>
    </row>
    <row r="38" spans="2:14" s="727" customFormat="1">
      <c r="B38" s="379"/>
      <c r="G38" s="734"/>
      <c r="H38" s="736"/>
      <c r="I38" s="736"/>
      <c r="J38" s="736"/>
      <c r="K38" s="736"/>
      <c r="L38" s="736"/>
      <c r="M38" s="736"/>
      <c r="N38" s="736"/>
    </row>
    <row r="39" spans="2:14" s="727" customFormat="1">
      <c r="B39" s="379"/>
      <c r="G39" s="734"/>
      <c r="H39" s="736"/>
      <c r="I39" s="736"/>
      <c r="J39" s="736"/>
      <c r="K39" s="736"/>
      <c r="L39" s="736"/>
      <c r="M39" s="736"/>
      <c r="N39" s="736"/>
    </row>
    <row r="40" spans="2:14" s="727" customFormat="1">
      <c r="B40" s="379"/>
      <c r="G40" s="734"/>
      <c r="H40" s="736"/>
      <c r="I40" s="736"/>
      <c r="J40" s="736"/>
      <c r="K40" s="736"/>
      <c r="L40" s="736"/>
      <c r="M40" s="736"/>
      <c r="N40" s="736"/>
    </row>
    <row r="41" spans="2:14" s="727" customFormat="1">
      <c r="B41" s="379"/>
      <c r="G41" s="734"/>
      <c r="H41" s="736"/>
      <c r="I41" s="736"/>
      <c r="J41" s="736"/>
      <c r="K41" s="736"/>
      <c r="L41" s="736"/>
      <c r="M41" s="736"/>
      <c r="N41" s="736"/>
    </row>
    <row r="42" spans="2:14" s="727" customFormat="1">
      <c r="B42" s="379"/>
      <c r="G42" s="734"/>
      <c r="H42" s="736"/>
      <c r="I42" s="736"/>
      <c r="J42" s="736"/>
      <c r="K42" s="736"/>
      <c r="L42" s="736"/>
      <c r="M42" s="736"/>
      <c r="N42" s="736"/>
    </row>
    <row r="43" spans="2:14" s="727" customFormat="1">
      <c r="B43" s="379"/>
      <c r="G43" s="734"/>
      <c r="H43" s="736"/>
      <c r="I43" s="736"/>
      <c r="J43" s="736"/>
      <c r="K43" s="736"/>
      <c r="L43" s="736"/>
      <c r="M43" s="736"/>
      <c r="N43" s="736"/>
    </row>
    <row r="44" spans="2:14" s="727" customFormat="1">
      <c r="B44" s="379"/>
      <c r="G44" s="734"/>
      <c r="H44" s="736"/>
      <c r="I44" s="736"/>
      <c r="J44" s="736"/>
      <c r="K44" s="736"/>
      <c r="L44" s="736"/>
      <c r="M44" s="736"/>
      <c r="N44" s="736"/>
    </row>
    <row r="45" spans="2:14" s="727" customFormat="1">
      <c r="B45" s="379"/>
      <c r="G45" s="734"/>
      <c r="H45" s="736"/>
      <c r="I45" s="736"/>
      <c r="J45" s="736"/>
      <c r="K45" s="736"/>
      <c r="L45" s="736"/>
      <c r="M45" s="736"/>
      <c r="N45" s="736"/>
    </row>
    <row r="46" spans="2:14" s="727" customFormat="1">
      <c r="B46" s="379"/>
      <c r="G46" s="734"/>
      <c r="H46" s="736"/>
      <c r="I46" s="736"/>
      <c r="J46" s="736"/>
      <c r="K46" s="736"/>
      <c r="L46" s="736"/>
      <c r="M46" s="736"/>
      <c r="N46" s="736"/>
    </row>
    <row r="47" spans="2:14" s="727" customFormat="1">
      <c r="B47" s="379"/>
      <c r="G47" s="734"/>
      <c r="H47" s="736"/>
      <c r="I47" s="736"/>
      <c r="J47" s="736"/>
      <c r="K47" s="736"/>
      <c r="L47" s="736"/>
      <c r="M47" s="736"/>
      <c r="N47" s="736"/>
    </row>
    <row r="48" spans="2:14" s="727" customFormat="1">
      <c r="B48" s="379"/>
      <c r="G48" s="734"/>
      <c r="H48" s="736"/>
      <c r="I48" s="736"/>
      <c r="J48" s="736"/>
      <c r="K48" s="736"/>
      <c r="L48" s="736"/>
      <c r="M48" s="736"/>
      <c r="N48" s="736"/>
    </row>
    <row r="49" spans="2:14" s="727" customFormat="1">
      <c r="B49" s="379"/>
      <c r="G49" s="734"/>
      <c r="H49" s="736"/>
      <c r="I49" s="736"/>
      <c r="J49" s="736"/>
      <c r="K49" s="736"/>
      <c r="L49" s="736"/>
      <c r="M49" s="736"/>
      <c r="N49" s="736"/>
    </row>
    <row r="50" spans="2:14" s="727" customFormat="1">
      <c r="B50" s="379"/>
      <c r="G50" s="734"/>
    </row>
    <row r="51" spans="2:14" s="727" customFormat="1">
      <c r="B51" s="379"/>
      <c r="G51" s="734"/>
    </row>
    <row r="52" spans="2:14" s="727" customFormat="1">
      <c r="B52" s="379"/>
      <c r="G52" s="734"/>
    </row>
  </sheetData>
  <sheetProtection algorithmName="SHA-512" hashValue="5vSirc4JKRiyuv/iLfnnRJOopWUXjlteLaA+xd0I4v4+MFXhZFPrLed5/beLEuKvctve175rowJZkIPua/PH+Q==" saltValue="ckjc5vNO0qUSsU/oVZ7p4w==" spinCount="100000" sheet="1" objects="1" scenarios="1"/>
  <dataConsolidate/>
  <mergeCells count="12">
    <mergeCell ref="C28:D28"/>
    <mergeCell ref="I28:M28"/>
    <mergeCell ref="C22:D22"/>
    <mergeCell ref="C23:D23"/>
    <mergeCell ref="C24:D24"/>
    <mergeCell ref="C27:D27"/>
    <mergeCell ref="C21:D21"/>
    <mergeCell ref="A1:E1"/>
    <mergeCell ref="C5:D5"/>
    <mergeCell ref="I6:J6"/>
    <mergeCell ref="C20:D20"/>
    <mergeCell ref="I20:J20"/>
  </mergeCells>
  <conditionalFormatting sqref="M25:R25">
    <cfRule type="iconSet" priority="9">
      <iconSet>
        <cfvo type="percent" val="0"/>
        <cfvo type="num" val="40" gte="0"/>
        <cfvo type="num" val="70"/>
      </iconSet>
    </cfRule>
    <cfRule type="expression" dxfId="60" priority="10">
      <formula>M21&gt;0</formula>
    </cfRule>
  </conditionalFormatting>
  <conditionalFormatting sqref="E28">
    <cfRule type="expression" priority="6">
      <formula>IFERROR(A3/A4,0)</formula>
    </cfRule>
    <cfRule type="containsErrors" dxfId="59" priority="7" stopIfTrue="1">
      <formula>ISERROR(E28)</formula>
    </cfRule>
  </conditionalFormatting>
  <conditionalFormatting sqref="E5">
    <cfRule type="expression" dxfId="58" priority="4">
      <formula>E4&gt;=0</formula>
    </cfRule>
    <cfRule type="expression" dxfId="57" priority="5">
      <formula>$E$4&lt;0</formula>
    </cfRule>
  </conditionalFormatting>
  <conditionalFormatting sqref="M27">
    <cfRule type="iconSet" priority="2">
      <iconSet>
        <cfvo type="percent" val="0"/>
        <cfvo type="num" val="40" gte="0"/>
        <cfvo type="num" val="70"/>
      </iconSet>
    </cfRule>
    <cfRule type="expression" dxfId="56" priority="3">
      <formula>M23&gt;0</formula>
    </cfRule>
  </conditionalFormatting>
  <dataValidations count="5">
    <dataValidation type="decimal" operator="greaterThanOrEqual" allowBlank="1" showInputMessage="1" showErrorMessage="1" error="Bitte keine negativen Werte eingeben." sqref="E8:E13">
      <formula1>0</formula1>
    </dataValidation>
    <dataValidation type="list" operator="equal" allowBlank="1" showInputMessage="1" showErrorMessage="1" sqref="E5">
      <formula1>INDIRECT($O$5)</formula1>
    </dataValidation>
    <dataValidation showErrorMessage="1" promptTitle="Bitte auswählen" sqref="G5"/>
    <dataValidation type="decimal" operator="greaterThanOrEqual" allowBlank="1" showInputMessage="1" showErrorMessage="1" error="Bitte keiine negativen Werte eingeben. " sqref="E14 E16 E18 E27 E22:E24">
      <formula1>0</formula1>
    </dataValidation>
    <dataValidation type="decimal" operator="greaterThanOrEqual" allowBlank="1" showInputMessage="1" showErrorMessage="1" error="Bitte keine negativen Werte eingeben. " sqref="E6">
      <formula1>0</formula1>
    </dataValidation>
  </dataValidations>
  <printOptions horizontalCentered="1" verticalCentered="1"/>
  <pageMargins left="0.31496062992125984" right="0.19685039370078741" top="0.70866141732283461" bottom="0.39370078740157483" header="0.39370078740157483" footer="0.23622047244094488"/>
  <pageSetup paperSize="9" scale="4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24"/>
  <sheetViews>
    <sheetView showGridLines="0" view="pageLayout" zoomScale="55" zoomScaleNormal="85" zoomScalePageLayoutView="55" workbookViewId="0">
      <selection activeCell="F7" sqref="F7"/>
    </sheetView>
  </sheetViews>
  <sheetFormatPr baseColWidth="10" defaultColWidth="11" defaultRowHeight="14.25"/>
  <cols>
    <col min="1" max="1" width="37.875" style="679" customWidth="1"/>
    <col min="2" max="2" width="41.625" style="679" customWidth="1"/>
    <col min="3" max="3" width="21.875" style="679" customWidth="1"/>
    <col min="4" max="4" width="27.375" style="679" customWidth="1"/>
    <col min="5" max="16384" width="11" style="679"/>
  </cols>
  <sheetData>
    <row r="1" spans="1:6" ht="63.75" thickBot="1">
      <c r="A1" s="850" t="s">
        <v>205</v>
      </c>
      <c r="B1" s="851" t="s">
        <v>206</v>
      </c>
      <c r="C1" s="851" t="s">
        <v>207</v>
      </c>
      <c r="D1" s="852" t="s">
        <v>208</v>
      </c>
    </row>
    <row r="2" spans="1:6" ht="15.75" customHeight="1">
      <c r="A2" s="925" t="s">
        <v>209</v>
      </c>
      <c r="B2" s="853" t="s">
        <v>210</v>
      </c>
      <c r="C2" s="922">
        <v>0.4</v>
      </c>
      <c r="D2" s="916" t="s">
        <v>211</v>
      </c>
    </row>
    <row r="3" spans="1:6" ht="47.25">
      <c r="A3" s="926"/>
      <c r="B3" s="854" t="s">
        <v>212</v>
      </c>
      <c r="C3" s="924"/>
      <c r="D3" s="917"/>
    </row>
    <row r="4" spans="1:6" ht="31.5">
      <c r="A4" s="926"/>
      <c r="B4" s="855" t="s">
        <v>213</v>
      </c>
      <c r="C4" s="924"/>
      <c r="D4" s="917"/>
    </row>
    <row r="5" spans="1:6" ht="31.5">
      <c r="A5" s="926"/>
      <c r="B5" s="855" t="s">
        <v>214</v>
      </c>
      <c r="C5" s="924"/>
      <c r="D5" s="917"/>
    </row>
    <row r="6" spans="1:6" ht="16.5" thickBot="1">
      <c r="A6" s="927"/>
      <c r="B6" s="856" t="s">
        <v>215</v>
      </c>
      <c r="C6" s="923"/>
      <c r="D6" s="917"/>
    </row>
    <row r="7" spans="1:6" ht="18">
      <c r="A7" s="920" t="s">
        <v>216</v>
      </c>
      <c r="B7" s="857" t="s">
        <v>217</v>
      </c>
      <c r="C7" s="922">
        <v>0.05</v>
      </c>
      <c r="D7" s="917"/>
      <c r="F7" s="858"/>
    </row>
    <row r="8" spans="1:6" ht="16.5" thickBot="1">
      <c r="A8" s="921"/>
      <c r="B8" s="859" t="s">
        <v>874</v>
      </c>
      <c r="C8" s="923"/>
      <c r="D8" s="917"/>
    </row>
    <row r="9" spans="1:6" ht="15.75" customHeight="1">
      <c r="A9" s="920" t="s">
        <v>707</v>
      </c>
      <c r="B9" s="857" t="s">
        <v>710</v>
      </c>
      <c r="C9" s="922">
        <v>0.05</v>
      </c>
      <c r="D9" s="917"/>
    </row>
    <row r="10" spans="1:6" ht="39" customHeight="1" thickBot="1">
      <c r="A10" s="921"/>
      <c r="B10" s="859" t="s">
        <v>711</v>
      </c>
      <c r="C10" s="924"/>
      <c r="D10" s="917"/>
    </row>
    <row r="11" spans="1:6" ht="15.75">
      <c r="A11" s="928" t="s">
        <v>712</v>
      </c>
      <c r="B11" s="860" t="s">
        <v>713</v>
      </c>
      <c r="C11" s="931">
        <v>0.05</v>
      </c>
      <c r="D11" s="918"/>
    </row>
    <row r="12" spans="1:6" ht="15.75">
      <c r="A12" s="929"/>
      <c r="B12" s="860" t="s">
        <v>875</v>
      </c>
      <c r="C12" s="932"/>
      <c r="D12" s="918"/>
    </row>
    <row r="13" spans="1:6" ht="32.25" thickBot="1">
      <c r="A13" s="930"/>
      <c r="B13" s="860" t="s">
        <v>714</v>
      </c>
      <c r="C13" s="933"/>
      <c r="D13" s="918"/>
    </row>
    <row r="14" spans="1:6" ht="15.75" customHeight="1">
      <c r="A14" s="920" t="s">
        <v>876</v>
      </c>
      <c r="B14" s="861" t="s">
        <v>218</v>
      </c>
      <c r="C14" s="924">
        <v>0.05</v>
      </c>
      <c r="D14" s="917"/>
    </row>
    <row r="15" spans="1:6" ht="32.25" thickBot="1">
      <c r="A15" s="921"/>
      <c r="B15" s="862" t="s">
        <v>219</v>
      </c>
      <c r="C15" s="923"/>
      <c r="D15" s="917"/>
    </row>
    <row r="16" spans="1:6" ht="19.5" customHeight="1">
      <c r="A16" s="925" t="s">
        <v>709</v>
      </c>
      <c r="B16" s="857" t="s">
        <v>760</v>
      </c>
      <c r="C16" s="922">
        <v>0.05</v>
      </c>
      <c r="D16" s="917"/>
    </row>
    <row r="17" spans="1:4" ht="14.25" customHeight="1">
      <c r="A17" s="926"/>
      <c r="B17" s="934" t="s">
        <v>761</v>
      </c>
      <c r="C17" s="924"/>
      <c r="D17" s="917"/>
    </row>
    <row r="18" spans="1:4" ht="16.5" customHeight="1" thickBot="1">
      <c r="A18" s="927"/>
      <c r="B18" s="935"/>
      <c r="C18" s="923"/>
      <c r="D18" s="917"/>
    </row>
    <row r="19" spans="1:4" ht="24" customHeight="1">
      <c r="A19" s="925" t="s">
        <v>706</v>
      </c>
      <c r="B19" s="857" t="s">
        <v>760</v>
      </c>
      <c r="C19" s="922">
        <v>0.05</v>
      </c>
      <c r="D19" s="917"/>
    </row>
    <row r="20" spans="1:4" ht="23.45" customHeight="1" thickBot="1">
      <c r="A20" s="926"/>
      <c r="B20" s="859" t="s">
        <v>761</v>
      </c>
      <c r="C20" s="932"/>
      <c r="D20" s="917"/>
    </row>
    <row r="21" spans="1:4" ht="15.75" customHeight="1">
      <c r="A21" s="925" t="s">
        <v>708</v>
      </c>
      <c r="B21" s="853" t="s">
        <v>704</v>
      </c>
      <c r="C21" s="922">
        <v>0.3</v>
      </c>
      <c r="D21" s="917"/>
    </row>
    <row r="22" spans="1:4" ht="15.75">
      <c r="A22" s="926"/>
      <c r="B22" s="854" t="s">
        <v>220</v>
      </c>
      <c r="C22" s="924"/>
      <c r="D22" s="917"/>
    </row>
    <row r="23" spans="1:4" ht="51.75" customHeight="1" thickBot="1">
      <c r="A23" s="927"/>
      <c r="B23" s="856" t="s">
        <v>221</v>
      </c>
      <c r="C23" s="923"/>
      <c r="D23" s="919"/>
    </row>
    <row r="24" spans="1:4" ht="16.5" thickBot="1">
      <c r="A24" s="680"/>
      <c r="B24" s="680"/>
      <c r="C24" s="690">
        <f>SUM(C1:C22)</f>
        <v>1.0000000000000002</v>
      </c>
      <c r="D24" s="680"/>
    </row>
  </sheetData>
  <sheetProtection algorithmName="SHA-512" hashValue="BXS9rE1Ce4nOIqmUxzwi8nJUsXHHr5dyE3Dwl34Yo5IikkWYVdfTdRDZHq4wtOrrbFj4nRun9w6Z6fqve08HUg==" saltValue="+BxZZzlBeUOEM+J9Kjn91w==" spinCount="100000" sheet="1" objects="1" scenarios="1"/>
  <mergeCells count="18">
    <mergeCell ref="C19:C20"/>
    <mergeCell ref="B17:B18"/>
    <mergeCell ref="D2:D23"/>
    <mergeCell ref="A7:A8"/>
    <mergeCell ref="C7:C8"/>
    <mergeCell ref="A9:A10"/>
    <mergeCell ref="C9:C10"/>
    <mergeCell ref="A14:A15"/>
    <mergeCell ref="C14:C15"/>
    <mergeCell ref="A16:A18"/>
    <mergeCell ref="C16:C18"/>
    <mergeCell ref="A21:A23"/>
    <mergeCell ref="C21:C23"/>
    <mergeCell ref="A2:A6"/>
    <mergeCell ref="C2:C6"/>
    <mergeCell ref="A11:A13"/>
    <mergeCell ref="C11:C13"/>
    <mergeCell ref="A19:A20"/>
  </mergeCells>
  <pageMargins left="0.7" right="0.7" top="0.78740157499999996" bottom="0.78740157499999996"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R56"/>
  <sheetViews>
    <sheetView showGridLines="0" zoomScaleNormal="100" workbookViewId="0">
      <selection activeCell="J15" sqref="J15"/>
    </sheetView>
  </sheetViews>
  <sheetFormatPr baseColWidth="10" defaultRowHeight="14.25"/>
  <cols>
    <col min="1" max="1" width="3.75" customWidth="1"/>
    <col min="2" max="2" width="5.125" customWidth="1"/>
    <col min="3" max="3" width="12.25" customWidth="1"/>
    <col min="4" max="4" width="6" bestFit="1" customWidth="1"/>
    <col min="5" max="5" width="15.5" customWidth="1"/>
    <col min="6" max="6" width="6" bestFit="1" customWidth="1"/>
    <col min="7" max="7" width="14.5" customWidth="1"/>
    <col min="8" max="8" width="6" bestFit="1" customWidth="1"/>
    <col min="9" max="9" width="8.75" customWidth="1"/>
    <col min="10" max="10" width="12.125" customWidth="1"/>
    <col min="11" max="11" width="13.625" customWidth="1"/>
    <col min="12" max="12" width="5.75" customWidth="1"/>
    <col min="13" max="13" width="15" customWidth="1"/>
    <col min="14" max="14" width="3.625" customWidth="1"/>
    <col min="15" max="15" width="4.375" customWidth="1"/>
    <col min="16" max="16" width="6.375" customWidth="1"/>
    <col min="17" max="17" width="17.375" customWidth="1"/>
  </cols>
  <sheetData>
    <row r="1" spans="1:18">
      <c r="A1" s="940" t="s">
        <v>697</v>
      </c>
      <c r="B1" s="940"/>
      <c r="C1" s="940"/>
      <c r="D1" s="940"/>
      <c r="E1" s="940"/>
      <c r="F1" s="940"/>
      <c r="G1" s="940"/>
      <c r="H1" s="940"/>
      <c r="I1" s="940"/>
      <c r="J1" s="940"/>
      <c r="K1" s="940"/>
      <c r="L1" s="940"/>
      <c r="M1" s="940"/>
      <c r="N1" s="940"/>
      <c r="O1" s="940"/>
      <c r="P1" s="940"/>
      <c r="Q1" s="940"/>
    </row>
    <row r="2" spans="1:18" ht="41.25" customHeight="1">
      <c r="A2" s="12"/>
      <c r="B2" s="637" t="s">
        <v>65</v>
      </c>
      <c r="C2" s="956" t="str">
        <f>IF(E2="Kreisumlage Sonderstatusstadt","Kreisumlage kreisangehörige Gemeinden","Kreisumlage")</f>
        <v>Kreisumlage</v>
      </c>
      <c r="D2" s="956"/>
      <c r="E2" s="784" t="str">
        <f>IF(AND(Deckblatt!C5=LEER,Deckblatt!G5=LEER,Deckblatt!G3&gt;0),"Kreisumlage Sonderstatusstadt","")</f>
        <v/>
      </c>
      <c r="F2" s="784"/>
      <c r="G2" s="959" t="s">
        <v>13</v>
      </c>
      <c r="H2" s="958"/>
      <c r="J2" s="943" t="s">
        <v>176</v>
      </c>
      <c r="K2" s="884"/>
      <c r="M2" s="943" t="s">
        <v>14</v>
      </c>
      <c r="N2" s="943"/>
      <c r="O2" s="943"/>
      <c r="P2" s="943"/>
      <c r="Q2" s="151"/>
      <c r="R2" s="784"/>
    </row>
    <row r="3" spans="1:18">
      <c r="A3" s="12"/>
      <c r="B3" s="390">
        <f>IF(ISBLANK(Deckblatt!$E$14),"",Deckblatt!$E$14)</f>
        <v>0</v>
      </c>
      <c r="C3" s="638"/>
      <c r="D3" s="639" t="s">
        <v>50</v>
      </c>
      <c r="E3" s="638"/>
      <c r="F3" s="639" t="str">
        <f>IF(C2="Kreisumlage","","v.H.")</f>
        <v/>
      </c>
      <c r="G3" s="939"/>
      <c r="H3" s="942"/>
      <c r="I3" s="639" t="s">
        <v>50</v>
      </c>
      <c r="J3" s="941"/>
      <c r="K3" s="942"/>
      <c r="L3" s="793" t="s">
        <v>50</v>
      </c>
      <c r="M3" s="944"/>
      <c r="N3" s="945"/>
      <c r="O3" s="793" t="s">
        <v>50</v>
      </c>
      <c r="P3" s="46"/>
      <c r="Q3" s="46"/>
    </row>
    <row r="4" spans="1:18">
      <c r="A4" s="12"/>
      <c r="B4" s="308" t="str">
        <f>IF(B3=0,"",B3-1)</f>
        <v/>
      </c>
      <c r="C4" s="638"/>
      <c r="D4" s="639" t="s">
        <v>50</v>
      </c>
      <c r="E4" s="785"/>
      <c r="F4" s="639" t="str">
        <f>IF(C2="Kreisumlage","","v.H.")</f>
        <v/>
      </c>
      <c r="G4" s="939"/>
      <c r="H4" s="942"/>
      <c r="I4" s="639" t="s">
        <v>50</v>
      </c>
      <c r="J4" s="941"/>
      <c r="K4" s="942"/>
      <c r="L4" s="793" t="s">
        <v>50</v>
      </c>
      <c r="M4" s="944"/>
      <c r="N4" s="945"/>
      <c r="O4" s="793" t="s">
        <v>50</v>
      </c>
      <c r="P4" s="46"/>
      <c r="Q4" s="46"/>
    </row>
    <row r="5" spans="1:18">
      <c r="A5" s="12"/>
      <c r="B5" s="308" t="str">
        <f>IF(B4="","",B4-1)</f>
        <v/>
      </c>
      <c r="C5" s="638"/>
      <c r="D5" s="639" t="s">
        <v>50</v>
      </c>
      <c r="E5" s="785"/>
      <c r="F5" s="639" t="str">
        <f>IF(C2="Kreisumlage","","v.H.")</f>
        <v/>
      </c>
      <c r="G5" s="939"/>
      <c r="H5" s="942"/>
      <c r="I5" s="639" t="s">
        <v>50</v>
      </c>
      <c r="J5" s="941"/>
      <c r="K5" s="942"/>
      <c r="L5" s="793" t="s">
        <v>50</v>
      </c>
      <c r="M5" s="944"/>
      <c r="N5" s="945"/>
      <c r="O5" s="793" t="s">
        <v>50</v>
      </c>
      <c r="P5" s="46"/>
      <c r="Q5" s="46"/>
    </row>
    <row r="6" spans="1:18">
      <c r="A6" s="12"/>
      <c r="B6" s="12"/>
      <c r="C6" s="12"/>
      <c r="D6" s="12"/>
      <c r="E6" s="12"/>
      <c r="F6" s="12"/>
      <c r="G6" s="12"/>
      <c r="H6" s="12"/>
      <c r="I6" s="12"/>
      <c r="J6" s="12"/>
      <c r="K6" s="12"/>
      <c r="L6" s="12"/>
      <c r="M6" s="12"/>
      <c r="N6" s="12"/>
      <c r="O6" s="12"/>
      <c r="P6" s="12"/>
    </row>
    <row r="7" spans="1:18">
      <c r="A7" s="940" t="s">
        <v>74</v>
      </c>
      <c r="B7" s="940"/>
      <c r="C7" s="940"/>
      <c r="D7" s="940"/>
      <c r="E7" s="940"/>
      <c r="F7" s="940"/>
      <c r="G7" s="940"/>
      <c r="H7" s="940"/>
      <c r="I7" s="940"/>
      <c r="J7" s="940"/>
      <c r="K7" s="940"/>
      <c r="L7" s="940"/>
      <c r="M7" s="940"/>
      <c r="N7" s="940"/>
      <c r="O7" s="940"/>
      <c r="P7" s="940"/>
      <c r="Q7" s="940"/>
    </row>
    <row r="8" spans="1:18">
      <c r="A8" s="639" t="s">
        <v>59</v>
      </c>
      <c r="B8" s="640"/>
      <c r="C8" s="640"/>
      <c r="D8" s="640"/>
      <c r="E8" s="640"/>
      <c r="F8" s="640"/>
      <c r="G8" s="641"/>
      <c r="H8" s="641"/>
      <c r="I8" s="640"/>
      <c r="J8" s="640"/>
      <c r="K8" s="640"/>
      <c r="L8" s="640"/>
      <c r="M8" s="640"/>
      <c r="N8" s="640"/>
      <c r="O8" s="12"/>
    </row>
    <row r="9" spans="1:18" s="251" customFormat="1" ht="47.25" customHeight="1">
      <c r="A9" s="642"/>
      <c r="B9" s="637" t="s">
        <v>65</v>
      </c>
      <c r="C9" s="644" t="s">
        <v>60</v>
      </c>
      <c r="D9" s="643"/>
      <c r="E9" s="644" t="s">
        <v>61</v>
      </c>
      <c r="F9" s="644"/>
      <c r="G9" s="957" t="s">
        <v>62</v>
      </c>
      <c r="H9" s="958"/>
      <c r="J9" s="952" t="s">
        <v>249</v>
      </c>
      <c r="K9" s="907"/>
      <c r="L9" s="643"/>
      <c r="M9" s="644" t="s">
        <v>120</v>
      </c>
      <c r="N9" s="645"/>
      <c r="O9" s="150"/>
      <c r="Q9" s="644" t="s">
        <v>859</v>
      </c>
      <c r="R9" s="150"/>
    </row>
    <row r="10" spans="1:18">
      <c r="A10" s="640"/>
      <c r="B10" s="646">
        <f>IF(ISBLANK(Deckblatt!$E$14),"",Deckblatt!$E$14)</f>
        <v>0</v>
      </c>
      <c r="C10" s="647"/>
      <c r="D10" s="639" t="s">
        <v>50</v>
      </c>
      <c r="E10" s="638"/>
      <c r="F10" s="639" t="s">
        <v>50</v>
      </c>
      <c r="G10" s="939"/>
      <c r="H10" s="942"/>
      <c r="I10" s="639" t="s">
        <v>50</v>
      </c>
      <c r="J10" s="939"/>
      <c r="K10" s="939"/>
      <c r="L10" s="639" t="s">
        <v>50</v>
      </c>
      <c r="M10" s="953">
        <f>'Details Ergebnishaushalt'!G23</f>
        <v>0</v>
      </c>
      <c r="N10" s="942"/>
      <c r="O10" s="648" t="s">
        <v>58</v>
      </c>
      <c r="Q10" s="794">
        <f>'Details Ergebnishaushalt'!G28</f>
        <v>0</v>
      </c>
      <c r="R10" s="648" t="s">
        <v>58</v>
      </c>
    </row>
    <row r="11" spans="1:18">
      <c r="A11" s="640"/>
      <c r="B11" s="649" t="str">
        <f>IF(B10=0,"",B10-1)</f>
        <v/>
      </c>
      <c r="C11" s="638"/>
      <c r="D11" s="639" t="s">
        <v>50</v>
      </c>
      <c r="E11" s="638"/>
      <c r="F11" s="639" t="s">
        <v>50</v>
      </c>
      <c r="G11" s="939"/>
      <c r="H11" s="942"/>
      <c r="I11" s="639" t="s">
        <v>50</v>
      </c>
      <c r="J11" s="939"/>
      <c r="K11" s="939"/>
      <c r="L11" s="639" t="s">
        <v>50</v>
      </c>
      <c r="M11" s="953">
        <f>'Details Ergebnishaushalt'!F23</f>
        <v>0</v>
      </c>
      <c r="N11" s="942"/>
      <c r="O11" s="648" t="s">
        <v>58</v>
      </c>
      <c r="Q11" s="794">
        <f>'Details Ergebnishaushalt'!F28</f>
        <v>0</v>
      </c>
      <c r="R11" s="648" t="s">
        <v>58</v>
      </c>
    </row>
    <row r="12" spans="1:18">
      <c r="A12" s="640"/>
      <c r="B12" s="649" t="str">
        <f>IF(B11="","",B11-1)</f>
        <v/>
      </c>
      <c r="C12" s="638"/>
      <c r="D12" s="639" t="s">
        <v>50</v>
      </c>
      <c r="E12" s="638"/>
      <c r="F12" s="639" t="s">
        <v>50</v>
      </c>
      <c r="G12" s="939"/>
      <c r="H12" s="942"/>
      <c r="I12" s="639" t="s">
        <v>50</v>
      </c>
      <c r="J12" s="939"/>
      <c r="K12" s="939"/>
      <c r="L12" s="639" t="s">
        <v>50</v>
      </c>
      <c r="M12" s="953">
        <f>'Details Ergebnishaushalt'!E23</f>
        <v>0</v>
      </c>
      <c r="N12" s="942"/>
      <c r="O12" s="648" t="s">
        <v>58</v>
      </c>
      <c r="Q12" s="794">
        <f>'Details Ergebnishaushalt'!E28</f>
        <v>0</v>
      </c>
      <c r="R12" s="648" t="s">
        <v>58</v>
      </c>
    </row>
    <row r="13" spans="1:18" s="73" customFormat="1">
      <c r="A13" s="650"/>
      <c r="B13" s="651"/>
      <c r="C13" s="652"/>
      <c r="D13" s="653"/>
      <c r="E13" s="654"/>
      <c r="F13" s="654"/>
      <c r="G13" s="654"/>
      <c r="H13" s="654"/>
      <c r="I13" s="654"/>
      <c r="J13" s="654"/>
      <c r="K13" s="654"/>
      <c r="L13" s="654"/>
      <c r="M13" s="655"/>
      <c r="N13" s="656"/>
    </row>
    <row r="14" spans="1:18" s="73" customFormat="1">
      <c r="A14" s="938" t="s">
        <v>74</v>
      </c>
      <c r="B14" s="938"/>
      <c r="C14" s="938"/>
      <c r="D14" s="938"/>
      <c r="E14" s="938"/>
      <c r="F14" s="938"/>
      <c r="G14" s="938"/>
      <c r="H14" s="938"/>
      <c r="I14" s="938"/>
      <c r="J14" s="938"/>
      <c r="K14" s="938"/>
      <c r="L14" s="938"/>
      <c r="M14" s="938"/>
      <c r="N14" s="938"/>
      <c r="O14" s="938"/>
      <c r="P14" s="938"/>
      <c r="Q14" s="938"/>
    </row>
    <row r="15" spans="1:18" s="73" customFormat="1">
      <c r="A15" s="653" t="s">
        <v>246</v>
      </c>
      <c r="B15" s="650"/>
      <c r="C15" s="650"/>
      <c r="D15" s="650"/>
      <c r="E15" s="650"/>
      <c r="F15" s="650"/>
      <c r="G15" s="657"/>
      <c r="H15" s="654"/>
      <c r="I15" s="654"/>
      <c r="J15" s="654"/>
      <c r="K15" s="654"/>
      <c r="L15" s="654"/>
      <c r="M15" s="655"/>
      <c r="N15" s="656"/>
    </row>
    <row r="16" spans="1:18" s="73" customFormat="1" ht="40.5" customHeight="1">
      <c r="A16" s="658"/>
      <c r="B16" s="637" t="s">
        <v>65</v>
      </c>
      <c r="C16" s="660" t="s">
        <v>60</v>
      </c>
      <c r="D16" s="659"/>
      <c r="E16" s="660" t="s">
        <v>61</v>
      </c>
      <c r="F16" s="660"/>
      <c r="G16" s="954" t="s">
        <v>62</v>
      </c>
      <c r="H16" s="955"/>
      <c r="I16" s="654"/>
      <c r="J16" s="654"/>
      <c r="K16" s="654"/>
      <c r="L16" s="654"/>
      <c r="M16" s="655"/>
      <c r="N16" s="656"/>
    </row>
    <row r="17" spans="1:17">
      <c r="A17" s="640"/>
      <c r="B17" s="646">
        <f>IF(ISBLANK(Deckblatt!$E$14),"",Deckblatt!$E$14)</f>
        <v>0</v>
      </c>
      <c r="C17" s="638"/>
      <c r="D17" s="639" t="s">
        <v>50</v>
      </c>
      <c r="E17" s="638"/>
      <c r="F17" s="639" t="s">
        <v>50</v>
      </c>
      <c r="G17" s="939"/>
      <c r="H17" s="942"/>
      <c r="I17" s="639" t="s">
        <v>50</v>
      </c>
      <c r="J17" s="654"/>
      <c r="K17" s="654"/>
      <c r="L17" s="654"/>
      <c r="M17" s="655"/>
      <c r="N17" s="656"/>
      <c r="O17" s="73"/>
      <c r="P17" s="73"/>
      <c r="Q17" s="73"/>
    </row>
    <row r="18" spans="1:17" s="73" customFormat="1">
      <c r="A18" s="650"/>
      <c r="B18" s="651"/>
      <c r="C18" s="652"/>
      <c r="D18" s="653"/>
      <c r="E18" s="654"/>
      <c r="F18" s="654"/>
      <c r="G18" s="654"/>
      <c r="H18" s="654"/>
      <c r="I18" s="654"/>
      <c r="J18" s="654"/>
      <c r="K18" s="654"/>
      <c r="L18" s="654"/>
      <c r="M18" s="655"/>
      <c r="N18" s="656"/>
    </row>
    <row r="19" spans="1:17" s="73" customFormat="1">
      <c r="A19" s="938" t="s">
        <v>225</v>
      </c>
      <c r="B19" s="938"/>
      <c r="C19" s="938"/>
      <c r="D19" s="938"/>
      <c r="E19" s="938"/>
      <c r="F19" s="938"/>
      <c r="G19" s="938"/>
      <c r="H19" s="938"/>
      <c r="I19" s="938"/>
      <c r="J19" s="938"/>
      <c r="K19" s="938"/>
      <c r="L19" s="938"/>
      <c r="M19" s="938"/>
      <c r="N19" s="938"/>
      <c r="O19" s="907"/>
      <c r="P19" s="938"/>
      <c r="Q19" s="938"/>
    </row>
    <row r="20" spans="1:17" s="273" customFormat="1">
      <c r="A20" s="661"/>
      <c r="B20" s="662"/>
      <c r="C20" s="663"/>
      <c r="D20" s="664"/>
      <c r="E20" s="663"/>
      <c r="F20" s="664"/>
      <c r="G20" s="663"/>
      <c r="H20" s="664"/>
      <c r="I20" s="663"/>
      <c r="J20" s="663"/>
      <c r="K20" s="664"/>
      <c r="L20" s="664"/>
      <c r="M20" s="655"/>
      <c r="N20" s="665"/>
    </row>
    <row r="21" spans="1:17" ht="19.5" customHeight="1">
      <c r="A21" s="639"/>
      <c r="B21" s="651"/>
      <c r="C21" s="936" t="s">
        <v>858</v>
      </c>
      <c r="D21" s="937"/>
      <c r="E21" s="937"/>
      <c r="F21" s="951" t="s">
        <v>119</v>
      </c>
      <c r="G21" s="884"/>
      <c r="H21" s="884"/>
      <c r="I21" s="884"/>
      <c r="J21" s="884"/>
      <c r="K21" s="884"/>
      <c r="L21" s="783"/>
      <c r="M21" s="783"/>
      <c r="N21" s="783"/>
      <c r="P21" s="947"/>
      <c r="Q21" s="947"/>
    </row>
    <row r="22" spans="1:17">
      <c r="A22" s="639"/>
      <c r="B22" s="651"/>
      <c r="C22" s="639"/>
      <c r="D22" s="639"/>
      <c r="E22" s="666"/>
      <c r="F22" s="639"/>
      <c r="G22" s="648"/>
      <c r="H22" s="648"/>
      <c r="I22" s="659"/>
      <c r="J22" s="643"/>
      <c r="K22" s="645"/>
      <c r="L22" s="645"/>
      <c r="M22" s="667"/>
      <c r="N22" s="656"/>
      <c r="P22" s="310"/>
      <c r="Q22" s="219"/>
    </row>
    <row r="23" spans="1:17" ht="7.5" customHeight="1">
      <c r="A23" s="639"/>
      <c r="B23" s="651"/>
      <c r="C23" s="666"/>
      <c r="D23" s="639"/>
      <c r="E23" s="666"/>
      <c r="F23" s="639"/>
      <c r="G23" s="668"/>
      <c r="H23" s="648"/>
      <c r="I23" s="652"/>
      <c r="J23" s="666"/>
      <c r="K23" s="639"/>
      <c r="L23" s="639"/>
      <c r="M23" s="669"/>
      <c r="N23" s="656"/>
      <c r="P23" s="310"/>
      <c r="Q23" s="219"/>
    </row>
    <row r="24" spans="1:17">
      <c r="A24" s="639"/>
      <c r="B24" s="651"/>
      <c r="C24" s="670" t="s">
        <v>193</v>
      </c>
      <c r="D24" s="653"/>
      <c r="E24" s="666"/>
      <c r="F24" s="639"/>
      <c r="G24" s="648"/>
      <c r="H24" s="648"/>
      <c r="I24" s="652"/>
      <c r="J24" s="666"/>
      <c r="K24" s="639"/>
      <c r="L24" s="639"/>
      <c r="M24" s="669"/>
      <c r="N24" s="656"/>
      <c r="P24" s="310"/>
    </row>
    <row r="25" spans="1:17" ht="5.25" customHeight="1">
      <c r="A25" s="653"/>
      <c r="B25" s="651"/>
      <c r="C25" s="670"/>
      <c r="D25" s="653"/>
      <c r="E25" s="652"/>
      <c r="F25" s="653"/>
      <c r="G25" s="648"/>
      <c r="H25" s="648"/>
      <c r="I25" s="652"/>
      <c r="J25" s="652"/>
      <c r="K25" s="653"/>
      <c r="L25" s="653"/>
      <c r="M25" s="655"/>
      <c r="N25" s="656"/>
      <c r="O25" s="73"/>
      <c r="P25" s="73"/>
      <c r="Q25" s="73"/>
    </row>
    <row r="26" spans="1:17" ht="15" customHeight="1">
      <c r="A26" s="653"/>
      <c r="B26" s="651"/>
      <c r="C26" s="670"/>
      <c r="D26" s="653"/>
      <c r="E26" s="671"/>
      <c r="F26" s="653"/>
      <c r="G26" s="948"/>
      <c r="H26" s="949"/>
      <c r="I26" s="652"/>
      <c r="J26" s="652"/>
      <c r="K26" s="653"/>
      <c r="L26" s="653"/>
      <c r="M26" s="671"/>
      <c r="N26" s="656"/>
      <c r="O26" s="73"/>
      <c r="P26" s="73"/>
      <c r="Q26" s="73"/>
    </row>
    <row r="27" spans="1:17">
      <c r="A27" s="639"/>
      <c r="B27" s="651"/>
      <c r="C27" s="672" t="s">
        <v>194</v>
      </c>
      <c r="D27" s="673"/>
      <c r="E27" s="674" t="s">
        <v>119</v>
      </c>
      <c r="F27" s="640"/>
      <c r="G27" s="675" t="s">
        <v>197</v>
      </c>
      <c r="H27" s="946" t="s">
        <v>119</v>
      </c>
      <c r="I27" s="946"/>
      <c r="J27" s="675" t="s">
        <v>689</v>
      </c>
      <c r="K27" s="639"/>
      <c r="L27" s="639"/>
      <c r="M27" s="674" t="s">
        <v>119</v>
      </c>
      <c r="N27" s="640"/>
    </row>
    <row r="28" spans="1:17" ht="14.25" customHeight="1">
      <c r="A28" s="639"/>
      <c r="B28" s="651"/>
      <c r="C28" s="672" t="s">
        <v>195</v>
      </c>
      <c r="D28" s="673"/>
      <c r="E28" s="674" t="s">
        <v>119</v>
      </c>
      <c r="F28" s="640"/>
      <c r="G28" s="675" t="s">
        <v>198</v>
      </c>
      <c r="H28" s="946" t="s">
        <v>119</v>
      </c>
      <c r="I28" s="946"/>
      <c r="J28" s="950" t="s">
        <v>690</v>
      </c>
      <c r="K28" s="884"/>
      <c r="L28" s="783"/>
      <c r="M28" s="674" t="s">
        <v>119</v>
      </c>
      <c r="N28" s="640"/>
    </row>
    <row r="29" spans="1:17">
      <c r="A29" s="639"/>
      <c r="B29" s="651"/>
      <c r="C29" s="676" t="s">
        <v>199</v>
      </c>
      <c r="D29" s="673"/>
      <c r="E29" s="674" t="s">
        <v>119</v>
      </c>
      <c r="F29" s="640"/>
      <c r="G29" s="677" t="s">
        <v>196</v>
      </c>
      <c r="H29" s="946" t="s">
        <v>119</v>
      </c>
      <c r="I29" s="946"/>
      <c r="J29" s="666"/>
      <c r="K29" s="639"/>
      <c r="L29" s="639"/>
      <c r="M29" s="669"/>
      <c r="N29" s="656"/>
    </row>
    <row r="30" spans="1:17" ht="13.5" customHeight="1">
      <c r="A30" s="639"/>
      <c r="B30" s="651"/>
      <c r="C30" s="676" t="s">
        <v>200</v>
      </c>
      <c r="D30" s="673"/>
      <c r="E30" s="674" t="s">
        <v>119</v>
      </c>
      <c r="F30" s="640"/>
      <c r="G30" s="678" t="s">
        <v>202</v>
      </c>
      <c r="H30" s="946" t="s">
        <v>119</v>
      </c>
      <c r="I30" s="946"/>
      <c r="J30" s="666"/>
      <c r="K30" s="639"/>
      <c r="L30" s="639"/>
      <c r="M30" s="669"/>
      <c r="N30" s="656"/>
    </row>
    <row r="31" spans="1:17" ht="16.5" customHeight="1">
      <c r="A31" s="46"/>
      <c r="B31" s="13"/>
      <c r="C31" s="73"/>
      <c r="D31" s="275"/>
      <c r="E31" s="292"/>
      <c r="F31" s="248"/>
      <c r="G31" s="248"/>
      <c r="H31" s="248"/>
      <c r="I31" s="248"/>
      <c r="J31" s="248"/>
      <c r="K31" s="248"/>
      <c r="L31" s="248"/>
      <c r="M31" s="248"/>
      <c r="N31" s="248"/>
      <c r="O31" s="248"/>
      <c r="P31" s="248"/>
      <c r="Q31" s="219"/>
    </row>
    <row r="32" spans="1:17" ht="12.75" customHeight="1">
      <c r="A32" s="46"/>
      <c r="B32" s="13"/>
      <c r="C32" s="274" t="s">
        <v>203</v>
      </c>
      <c r="D32" s="275"/>
      <c r="E32" s="834"/>
      <c r="F32" s="804"/>
      <c r="G32" s="804"/>
      <c r="H32" s="804"/>
      <c r="I32" s="804"/>
      <c r="J32" s="804"/>
      <c r="K32" s="804"/>
      <c r="L32" s="804"/>
      <c r="M32" s="804"/>
    </row>
    <row r="33" spans="1:17" ht="14.25" customHeight="1">
      <c r="A33" s="46"/>
      <c r="B33" s="13"/>
      <c r="C33" s="309"/>
      <c r="D33" s="275"/>
      <c r="E33" s="804"/>
      <c r="F33" s="804"/>
      <c r="G33" s="804"/>
      <c r="H33" s="804"/>
      <c r="I33" s="804"/>
      <c r="J33" s="804"/>
      <c r="K33" s="804"/>
      <c r="L33" s="804"/>
      <c r="M33" s="804"/>
      <c r="N33" s="152"/>
    </row>
    <row r="34" spans="1:17" ht="14.25" customHeight="1">
      <c r="A34" s="46"/>
      <c r="B34" s="13"/>
      <c r="C34" s="163"/>
      <c r="D34" s="164"/>
      <c r="E34" s="804"/>
      <c r="F34" s="804"/>
      <c r="G34" s="804"/>
      <c r="H34" s="804"/>
      <c r="I34" s="804"/>
      <c r="J34" s="804"/>
      <c r="K34" s="804"/>
      <c r="L34" s="804"/>
      <c r="M34" s="804"/>
      <c r="N34" s="152"/>
    </row>
    <row r="35" spans="1:17">
      <c r="E35" s="804"/>
      <c r="F35" s="804"/>
      <c r="G35" s="804"/>
      <c r="H35" s="804"/>
      <c r="I35" s="804"/>
      <c r="J35" s="804"/>
      <c r="K35" s="804"/>
      <c r="L35" s="804"/>
      <c r="M35" s="804"/>
    </row>
    <row r="36" spans="1:17" s="73" customFormat="1">
      <c r="E36" s="804"/>
      <c r="F36" s="804"/>
      <c r="G36" s="804"/>
      <c r="H36" s="804"/>
      <c r="I36" s="804"/>
      <c r="J36" s="804"/>
      <c r="K36" s="804"/>
      <c r="L36" s="804"/>
      <c r="M36" s="804"/>
    </row>
    <row r="37" spans="1:17" s="73" customFormat="1">
      <c r="A37" s="272"/>
      <c r="B37" s="13"/>
      <c r="C37" s="271"/>
      <c r="D37" s="272"/>
      <c r="E37" s="371"/>
      <c r="F37" s="272"/>
      <c r="G37" s="49"/>
      <c r="H37" s="49"/>
      <c r="I37" s="271"/>
      <c r="J37" s="271"/>
      <c r="K37" s="272"/>
      <c r="L37" s="272"/>
      <c r="M37" s="269"/>
      <c r="N37" s="152"/>
    </row>
    <row r="38" spans="1:17" s="73" customFormat="1">
      <c r="A38" s="272"/>
      <c r="B38" s="13"/>
      <c r="C38" s="372"/>
      <c r="D38" s="272"/>
      <c r="E38" s="371"/>
      <c r="F38" s="272"/>
      <c r="G38" s="49"/>
      <c r="H38" s="49"/>
      <c r="I38" s="271"/>
      <c r="J38" s="271"/>
      <c r="K38" s="272"/>
      <c r="L38" s="272"/>
      <c r="M38" s="269"/>
      <c r="N38" s="152"/>
    </row>
    <row r="39" spans="1:17" s="73" customFormat="1">
      <c r="A39" s="270"/>
      <c r="B39" s="13"/>
      <c r="C39" s="93"/>
      <c r="D39" s="11"/>
      <c r="E39" s="370"/>
      <c r="F39" s="370"/>
      <c r="G39" s="370"/>
      <c r="H39" s="370"/>
      <c r="I39" s="370"/>
      <c r="J39" s="370"/>
      <c r="K39" s="270"/>
      <c r="L39" s="270"/>
      <c r="M39" s="270"/>
      <c r="N39" s="270"/>
      <c r="O39" s="270"/>
    </row>
    <row r="40" spans="1:17" s="73" customFormat="1">
      <c r="B40" s="10"/>
      <c r="C40" s="10"/>
      <c r="D40" s="10"/>
      <c r="E40" s="10"/>
      <c r="F40" s="10"/>
      <c r="G40" s="10"/>
      <c r="H40" s="10"/>
      <c r="I40" s="10"/>
      <c r="J40" s="10"/>
      <c r="K40" s="10"/>
      <c r="L40" s="10"/>
      <c r="M40" s="13"/>
      <c r="N40" s="13"/>
    </row>
    <row r="41" spans="1:17" s="73" customFormat="1">
      <c r="N41" s="13"/>
      <c r="O41" s="10"/>
      <c r="P41" s="8"/>
    </row>
    <row r="42" spans="1:17" s="73" customFormat="1">
      <c r="N42" s="14"/>
      <c r="O42" s="10"/>
      <c r="P42" s="6"/>
      <c r="Q42" s="1"/>
    </row>
    <row r="43" spans="1:17" s="73" customFormat="1">
      <c r="N43" s="14"/>
      <c r="O43" s="10"/>
      <c r="P43" s="6"/>
      <c r="Q43" s="373"/>
    </row>
    <row r="44" spans="1:17" s="73" customFormat="1">
      <c r="N44" s="11"/>
      <c r="O44" s="10"/>
      <c r="P44" s="6"/>
    </row>
    <row r="45" spans="1:17" s="73" customFormat="1">
      <c r="B45" s="10"/>
      <c r="C45" s="6"/>
      <c r="D45" s="7"/>
      <c r="E45" s="7"/>
      <c r="F45" s="7"/>
      <c r="G45" s="7"/>
      <c r="H45" s="7"/>
      <c r="I45" s="7"/>
      <c r="J45" s="6"/>
      <c r="K45" s="6"/>
      <c r="L45" s="6"/>
      <c r="M45" s="9"/>
      <c r="N45" s="42"/>
      <c r="O45" s="10"/>
      <c r="P45" s="6"/>
    </row>
    <row r="46" spans="1:17" s="73" customFormat="1">
      <c r="B46" s="13"/>
      <c r="C46" s="270"/>
      <c r="D46" s="373"/>
      <c r="E46" s="373"/>
      <c r="F46" s="373"/>
      <c r="G46" s="373"/>
      <c r="H46" s="373"/>
      <c r="I46" s="373"/>
      <c r="J46" s="270"/>
      <c r="K46" s="270"/>
      <c r="L46" s="270"/>
      <c r="M46" s="270"/>
      <c r="N46" s="270"/>
      <c r="O46" s="10"/>
      <c r="P46" s="6"/>
    </row>
    <row r="47" spans="1:17">
      <c r="B47" s="13"/>
      <c r="C47" s="12"/>
      <c r="D47" s="12"/>
      <c r="E47" s="12"/>
      <c r="F47" s="12"/>
      <c r="G47" s="12"/>
      <c r="H47" s="12"/>
      <c r="I47" s="12"/>
      <c r="J47" s="12"/>
      <c r="K47" s="12"/>
      <c r="L47" s="12"/>
      <c r="M47" s="12"/>
      <c r="N47" s="12"/>
      <c r="O47" s="12"/>
      <c r="P47" s="2"/>
    </row>
    <row r="48" spans="1:17">
      <c r="B48" s="13"/>
      <c r="C48" s="12"/>
      <c r="D48" s="12"/>
      <c r="E48" s="12"/>
      <c r="F48" s="12"/>
      <c r="G48" s="12"/>
      <c r="H48" s="12"/>
      <c r="I48" s="12"/>
      <c r="J48" s="12"/>
      <c r="K48" s="12"/>
      <c r="L48" s="12"/>
      <c r="M48" s="12"/>
      <c r="N48" s="12"/>
      <c r="O48" s="12"/>
      <c r="P48" s="2"/>
    </row>
    <row r="49" spans="2:16">
      <c r="B49" s="2"/>
      <c r="C49" s="2"/>
      <c r="M49" s="2"/>
      <c r="N49" s="12"/>
      <c r="O49" s="12"/>
      <c r="P49" s="4"/>
    </row>
    <row r="50" spans="2:16">
      <c r="B50" s="2"/>
      <c r="C50" s="2"/>
      <c r="M50" s="2"/>
      <c r="N50" s="12"/>
      <c r="O50" s="12"/>
      <c r="P50" s="4"/>
    </row>
    <row r="51" spans="2:16">
      <c r="N51" s="12"/>
      <c r="O51" s="12"/>
      <c r="P51" s="4"/>
    </row>
    <row r="52" spans="2:16">
      <c r="C52" s="2"/>
      <c r="D52" s="2"/>
      <c r="E52" s="2"/>
      <c r="F52" s="2"/>
      <c r="G52" s="2"/>
      <c r="H52" s="2"/>
      <c r="I52" s="2"/>
      <c r="J52" s="2"/>
      <c r="K52" s="2"/>
      <c r="L52" s="2"/>
      <c r="M52" s="2"/>
      <c r="N52" s="2"/>
      <c r="O52" s="12"/>
    </row>
    <row r="53" spans="2:16">
      <c r="C53" s="2"/>
      <c r="D53" s="3"/>
      <c r="E53" s="3"/>
      <c r="F53" s="3"/>
      <c r="G53" s="3"/>
      <c r="H53" s="3"/>
      <c r="I53" s="3"/>
      <c r="J53" s="2"/>
      <c r="K53" s="2"/>
      <c r="L53" s="2"/>
      <c r="M53" s="5"/>
      <c r="N53" s="5"/>
      <c r="O53" s="2"/>
      <c r="P53" s="2"/>
    </row>
    <row r="54" spans="2:16">
      <c r="C54" s="2"/>
      <c r="D54" s="3"/>
      <c r="E54" s="3"/>
      <c r="F54" s="3"/>
      <c r="G54" s="3"/>
      <c r="H54" s="3"/>
      <c r="I54" s="3"/>
      <c r="J54" s="2"/>
      <c r="K54" s="2"/>
      <c r="L54" s="2"/>
      <c r="M54" s="5"/>
      <c r="N54" s="5"/>
      <c r="P54" s="2"/>
    </row>
    <row r="55" spans="2:16">
      <c r="C55" s="2"/>
      <c r="D55" s="3"/>
      <c r="E55" s="3"/>
      <c r="F55" s="3"/>
      <c r="G55" s="3"/>
      <c r="H55" s="3"/>
      <c r="I55" s="3"/>
      <c r="J55" s="2"/>
      <c r="K55" s="2"/>
      <c r="L55" s="2"/>
      <c r="M55" s="5"/>
      <c r="N55" s="5"/>
      <c r="P55" s="2"/>
    </row>
    <row r="56" spans="2:16">
      <c r="P56" s="2"/>
    </row>
  </sheetData>
  <sheetProtection algorithmName="SHA-512" hashValue="PQbdtA43Q4ISt90tQwlmDkAchK0w/UALStrmwNlkJSpPn1hETVg8b3o9rbEZNOqrFNT4Tbvm239KLrYCoDjctg==" saltValue="u9lLFN0bGkJ8La67+ILOjw==" spinCount="100000" sheet="1" scenarios="1"/>
  <mergeCells count="44">
    <mergeCell ref="O14:Q14"/>
    <mergeCell ref="P19:Q19"/>
    <mergeCell ref="A19:O19"/>
    <mergeCell ref="O1:Q1"/>
    <mergeCell ref="O7:Q7"/>
    <mergeCell ref="M10:N10"/>
    <mergeCell ref="M11:N11"/>
    <mergeCell ref="M12:N12"/>
    <mergeCell ref="G17:H17"/>
    <mergeCell ref="G16:H16"/>
    <mergeCell ref="G11:H11"/>
    <mergeCell ref="G12:H12"/>
    <mergeCell ref="C2:D2"/>
    <mergeCell ref="G9:H9"/>
    <mergeCell ref="G2:H2"/>
    <mergeCell ref="G3:H3"/>
    <mergeCell ref="O2:P2"/>
    <mergeCell ref="M2:N2"/>
    <mergeCell ref="M3:N3"/>
    <mergeCell ref="M4:N4"/>
    <mergeCell ref="H30:I30"/>
    <mergeCell ref="P21:Q21"/>
    <mergeCell ref="G26:H26"/>
    <mergeCell ref="H27:I27"/>
    <mergeCell ref="H28:I28"/>
    <mergeCell ref="H29:I29"/>
    <mergeCell ref="J28:K28"/>
    <mergeCell ref="F21:K21"/>
    <mergeCell ref="J11:K11"/>
    <mergeCell ref="J9:K9"/>
    <mergeCell ref="M5:N5"/>
    <mergeCell ref="J4:K4"/>
    <mergeCell ref="C21:E21"/>
    <mergeCell ref="A14:N14"/>
    <mergeCell ref="J12:K12"/>
    <mergeCell ref="A1:N1"/>
    <mergeCell ref="A7:N7"/>
    <mergeCell ref="J3:K3"/>
    <mergeCell ref="J5:K5"/>
    <mergeCell ref="G4:H4"/>
    <mergeCell ref="G5:H5"/>
    <mergeCell ref="G10:H10"/>
    <mergeCell ref="J2:K2"/>
    <mergeCell ref="J10:K10"/>
  </mergeCells>
  <phoneticPr fontId="5" type="noConversion"/>
  <conditionalFormatting sqref="M10:M12">
    <cfRule type="expression" dxfId="55" priority="90" stopIfTrue="1">
      <formula>ISBLANK(M10)</formula>
    </cfRule>
  </conditionalFormatting>
  <conditionalFormatting sqref="C10">
    <cfRule type="expression" dxfId="54" priority="68">
      <formula>C17&gt;C10</formula>
    </cfRule>
  </conditionalFormatting>
  <conditionalFormatting sqref="C11:C12">
    <cfRule type="expression" dxfId="53" priority="65">
      <formula>C18&gt;C11</formula>
    </cfRule>
  </conditionalFormatting>
  <conditionalFormatting sqref="E10">
    <cfRule type="expression" dxfId="52" priority="64">
      <formula>E17&gt;E10</formula>
    </cfRule>
  </conditionalFormatting>
  <conditionalFormatting sqref="E11:E12">
    <cfRule type="expression" dxfId="51" priority="63">
      <formula>E18&gt;E11</formula>
    </cfRule>
  </conditionalFormatting>
  <conditionalFormatting sqref="F21">
    <cfRule type="containsText" dxfId="50" priority="49" stopIfTrue="1" operator="containsText" text="Bitte auswählen">
      <formula>NOT(ISERROR(SEARCH("Bitte auswählen",F21)))</formula>
    </cfRule>
    <cfRule type="cellIs" dxfId="49" priority="51" operator="notEqual">
      <formula>"Bitte auswählen"</formula>
    </cfRule>
  </conditionalFormatting>
  <conditionalFormatting sqref="P21">
    <cfRule type="containsText" dxfId="48" priority="43" operator="containsText" text="nein">
      <formula>NOT(ISERROR(SEARCH("nein",P21)))</formula>
    </cfRule>
    <cfRule type="containsText" priority="44" operator="containsText" text="n">
      <formula>NOT(ISERROR(SEARCH("n",P21)))</formula>
    </cfRule>
    <cfRule type="containsText" dxfId="47" priority="45" operator="containsText" text="ja">
      <formula>NOT(ISERROR(SEARCH("ja",P21)))</formula>
    </cfRule>
  </conditionalFormatting>
  <conditionalFormatting sqref="P23:P24">
    <cfRule type="containsText" dxfId="46" priority="40" operator="containsText" text="nein">
      <formula>NOT(ISERROR(SEARCH("nein",P23)))</formula>
    </cfRule>
    <cfRule type="containsText" priority="41" operator="containsText" text="n">
      <formula>NOT(ISERROR(SEARCH("n",P23)))</formula>
    </cfRule>
    <cfRule type="containsText" dxfId="45" priority="42" operator="containsText" text="ja">
      <formula>NOT(ISERROR(SEARCH("ja",P23)))</formula>
    </cfRule>
  </conditionalFormatting>
  <conditionalFormatting sqref="P22">
    <cfRule type="containsText" dxfId="44" priority="37" operator="containsText" text="nein">
      <formula>NOT(ISERROR(SEARCH("nein",P22)))</formula>
    </cfRule>
    <cfRule type="containsText" priority="38" operator="containsText" text="n">
      <formula>NOT(ISERROR(SEARCH("n",P22)))</formula>
    </cfRule>
    <cfRule type="containsText" dxfId="43" priority="39" operator="containsText" text="ja">
      <formula>NOT(ISERROR(SEARCH("ja",P22)))</formula>
    </cfRule>
  </conditionalFormatting>
  <conditionalFormatting sqref="E27">
    <cfRule type="containsText" dxfId="42" priority="32" operator="containsText" text="ja">
      <formula>NOT(ISERROR(SEARCH("ja",E27)))</formula>
    </cfRule>
    <cfRule type="containsText" dxfId="41" priority="33" operator="containsText" text="nein">
      <formula>NOT(ISERROR(SEARCH("nein",E27)))</formula>
    </cfRule>
  </conditionalFormatting>
  <conditionalFormatting sqref="H27:H30">
    <cfRule type="containsText" dxfId="40" priority="16" operator="containsText" text="ja">
      <formula>NOT(ISERROR(SEARCH("ja",H27)))</formula>
    </cfRule>
    <cfRule type="containsText" dxfId="39" priority="17" operator="containsText" text="nein">
      <formula>NOT(ISERROR(SEARCH("nein",H27)))</formula>
    </cfRule>
  </conditionalFormatting>
  <conditionalFormatting sqref="E28:E30">
    <cfRule type="containsText" dxfId="38" priority="12" operator="containsText" text="ja">
      <formula>NOT(ISERROR(SEARCH("ja",E28)))</formula>
    </cfRule>
    <cfRule type="containsText" dxfId="37" priority="13" operator="containsText" text="nein">
      <formula>NOT(ISERROR(SEARCH("nein",E28)))</formula>
    </cfRule>
  </conditionalFormatting>
  <conditionalFormatting sqref="M27:M28">
    <cfRule type="containsText" dxfId="36" priority="10" operator="containsText" text="ja">
      <formula>NOT(ISERROR(SEARCH("ja",M27)))</formula>
    </cfRule>
    <cfRule type="containsText" dxfId="35" priority="11" operator="containsText" text="nein">
      <formula>NOT(ISERROR(SEARCH("nein",M27)))</formula>
    </cfRule>
  </conditionalFormatting>
  <conditionalFormatting sqref="E3">
    <cfRule type="expression" dxfId="34" priority="4">
      <formula>C2="Kreisumlage"</formula>
    </cfRule>
  </conditionalFormatting>
  <conditionalFormatting sqref="E4">
    <cfRule type="expression" dxfId="33" priority="3">
      <formula>C2="Kreisumlage"</formula>
    </cfRule>
  </conditionalFormatting>
  <conditionalFormatting sqref="E5">
    <cfRule type="expression" dxfId="32" priority="2">
      <formula>C2="Kreisumlage"</formula>
    </cfRule>
  </conditionalFormatting>
  <conditionalFormatting sqref="Q10:Q12">
    <cfRule type="expression" dxfId="31" priority="1" stopIfTrue="1">
      <formula>ISBLANK(Q10)</formula>
    </cfRule>
  </conditionalFormatting>
  <dataValidations disablePrompts="1" xWindow="409" yWindow="586" count="7">
    <dataValidation allowBlank="1" showInputMessage="1" showErrorMessage="1" prompt="Die Angabe wird automatisch übernommen aus dem Blatt &quot;Details Ergebnishaushalt&quot;. " sqref="M10:M12 Q10:Q12"/>
    <dataValidation allowBlank="1" showErrorMessage="1" sqref="N27:N28"/>
    <dataValidation allowBlank="1" showErrorMessage="1" prompt="Bitte den Wert rot einfärben, wenn der Hebesatz der Grundsteuer B unterhalb des Nivellierungssatzes nach dem FAG liegt." sqref="E37:E38 E24 E26"/>
    <dataValidation type="list" allowBlank="1" showInputMessage="1" showErrorMessage="1" sqref="P21:Q21">
      <formula1>"Bitte auswählen,einmalige Beiträge,wiederkehrende Beiträge"</formula1>
    </dataValidation>
    <dataValidation allowBlank="1" showInputMessage="1" showErrorMessage="1" prompt="Bitte den Wert rot einfärben, wenn der Hebesatz der Grundsteuer B unterhalb des Nivellierungssatzes nach dem FAG liegt." sqref="M26 G26 E22:E23 E25"/>
    <dataValidation type="list" allowBlank="1" showErrorMessage="1" sqref="E27:E30 H27:I30 M27:M28">
      <formula1>"Bitte auswählen,ja,nein"</formula1>
    </dataValidation>
    <dataValidation type="list" allowBlank="1" showInputMessage="1" showErrorMessage="1" sqref="F21">
      <mc:AlternateContent xmlns:x12ac="http://schemas.microsoft.com/office/spreadsheetml/2011/1/ac" xmlns:mc="http://schemas.openxmlformats.org/markup-compatibility/2006">
        <mc:Choice Requires="x12ac">
          <x12ac:list>Bitte auswählen,keine Satzung," einmalige Beiträge, Gemeindeanteil nach § 11 Abs. 4 KAG","einmalige Beiträge, erhöhter Gemeindeanteil (abgesenkte Anliegerbeiträge)",wiederkehrende Beiträge</x12ac:list>
        </mc:Choice>
        <mc:Fallback>
          <formula1>"Bitte auswählen,keine Satzung, einmalige Beiträge, Gemeindeanteil nach § 11 Abs. 4 KAG,einmalige Beiträge, erhöhter Gemeindeanteil (abgesenkte Anliegerbeiträge),wiederkehrende Beiträge"</formula1>
        </mc:Fallback>
      </mc:AlternateContent>
    </dataValidation>
  </dataValidations>
  <printOptions horizontalCentered="1" verticalCentered="1"/>
  <pageMargins left="0.78740157480314965" right="0.78740157480314965" top="0.98425196850393704" bottom="0.98425196850393704" header="0.51181102362204722" footer="0.51181102362204722"/>
  <pageSetup paperSize="9" scale="71" fitToWidth="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AM79"/>
  <sheetViews>
    <sheetView showGridLines="0" zoomScaleNormal="100" workbookViewId="0">
      <selection activeCell="E11" sqref="E11"/>
    </sheetView>
  </sheetViews>
  <sheetFormatPr baseColWidth="10" defaultColWidth="8.875" defaultRowHeight="12.75"/>
  <cols>
    <col min="1" max="1" width="6.5" style="18" bestFit="1" customWidth="1"/>
    <col min="2" max="2" width="8.25" style="18" customWidth="1"/>
    <col min="3" max="3" width="39.875" style="18" customWidth="1"/>
    <col min="4" max="4" width="1.5" style="18" bestFit="1" customWidth="1"/>
    <col min="5" max="5" width="26.625" style="18" bestFit="1" customWidth="1"/>
    <col min="6" max="10" width="23.25" style="18" customWidth="1"/>
    <col min="11" max="16384" width="8.875" style="18"/>
  </cols>
  <sheetData>
    <row r="1" spans="1:39" ht="18.75" customHeight="1" thickBot="1">
      <c r="A1" s="27"/>
      <c r="C1" s="30"/>
      <c r="D1" s="30"/>
      <c r="E1" s="222" t="str">
        <f>Finanzhaushalt!E1</f>
        <v/>
      </c>
      <c r="F1" s="222" t="str">
        <f>Finanzhaushalt!F1</f>
        <v/>
      </c>
      <c r="G1" s="290" t="str">
        <f>Finanzhaushalt!G1</f>
        <v/>
      </c>
      <c r="H1" s="222" t="str">
        <f>Finanzhaushalt!H1</f>
        <v/>
      </c>
      <c r="I1" s="222" t="str">
        <f>Finanzhaushalt!I1</f>
        <v/>
      </c>
      <c r="J1" s="222" t="str">
        <f>Finanzhaushalt!J1</f>
        <v/>
      </c>
    </row>
    <row r="2" spans="1:39" ht="13.5" customHeight="1" thickBot="1">
      <c r="A2" s="27"/>
      <c r="B2" s="407" t="s">
        <v>2</v>
      </c>
      <c r="C2" s="29"/>
      <c r="D2" s="29"/>
      <c r="E2" s="607" t="s">
        <v>119</v>
      </c>
      <c r="F2" s="608" t="s">
        <v>119</v>
      </c>
      <c r="G2" s="847" t="s">
        <v>871</v>
      </c>
      <c r="H2" s="609" t="s">
        <v>204</v>
      </c>
      <c r="I2" s="609" t="s">
        <v>204</v>
      </c>
      <c r="J2" s="609" t="s">
        <v>204</v>
      </c>
    </row>
    <row r="3" spans="1:39">
      <c r="B3" s="433"/>
      <c r="C3" s="433"/>
      <c r="E3" s="26"/>
      <c r="F3" s="610"/>
      <c r="G3" s="611"/>
      <c r="H3" s="610"/>
      <c r="I3" s="26"/>
      <c r="J3" s="26"/>
    </row>
    <row r="4" spans="1:39" ht="13.5" customHeight="1">
      <c r="A4" s="432" t="s">
        <v>52</v>
      </c>
      <c r="B4" s="432" t="s">
        <v>53</v>
      </c>
      <c r="C4" s="432" t="s">
        <v>54</v>
      </c>
      <c r="D4" s="85"/>
      <c r="E4" s="960" t="s">
        <v>121</v>
      </c>
      <c r="F4" s="960"/>
      <c r="G4" s="960"/>
      <c r="H4" s="960"/>
      <c r="I4" s="960"/>
      <c r="J4" s="960"/>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ht="10.5" customHeight="1" thickBot="1">
      <c r="A5" s="27"/>
      <c r="B5" s="31"/>
      <c r="C5" s="50"/>
      <c r="D5" s="32"/>
      <c r="E5" s="612"/>
      <c r="F5" s="613"/>
      <c r="G5" s="613"/>
      <c r="H5" s="612"/>
      <c r="I5" s="612"/>
      <c r="J5" s="612"/>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39" ht="16.5" customHeight="1">
      <c r="A6" s="424">
        <v>1</v>
      </c>
      <c r="B6" s="425">
        <v>50</v>
      </c>
      <c r="C6" s="427" t="s">
        <v>25</v>
      </c>
      <c r="D6" s="71"/>
      <c r="E6" s="614"/>
      <c r="F6" s="615"/>
      <c r="G6" s="616"/>
      <c r="H6" s="615"/>
      <c r="I6" s="615"/>
      <c r="J6" s="615"/>
      <c r="K6" s="116"/>
    </row>
    <row r="7" spans="1:39" ht="19.5" customHeight="1">
      <c r="A7" s="410">
        <v>2</v>
      </c>
      <c r="B7" s="426">
        <v>51</v>
      </c>
      <c r="C7" s="429" t="s">
        <v>68</v>
      </c>
      <c r="D7" s="70"/>
      <c r="E7" s="614"/>
      <c r="F7" s="617"/>
      <c r="G7" s="618"/>
      <c r="H7" s="615"/>
      <c r="I7" s="615"/>
      <c r="J7" s="615"/>
    </row>
    <row r="8" spans="1:39">
      <c r="A8" s="410">
        <v>3</v>
      </c>
      <c r="B8" s="426" t="s">
        <v>26</v>
      </c>
      <c r="C8" s="429" t="s">
        <v>27</v>
      </c>
      <c r="D8" s="70"/>
      <c r="E8" s="614"/>
      <c r="F8" s="617"/>
      <c r="G8" s="618"/>
      <c r="H8" s="615"/>
      <c r="I8" s="615"/>
      <c r="J8" s="615"/>
    </row>
    <row r="9" spans="1:39" ht="25.5">
      <c r="A9" s="410">
        <v>4</v>
      </c>
      <c r="B9" s="426">
        <v>52</v>
      </c>
      <c r="C9" s="429" t="s">
        <v>28</v>
      </c>
      <c r="D9" s="70"/>
      <c r="E9" s="614"/>
      <c r="F9" s="617"/>
      <c r="G9" s="618"/>
      <c r="H9" s="615"/>
      <c r="I9" s="615"/>
      <c r="J9" s="615"/>
    </row>
    <row r="10" spans="1:39" ht="25.5">
      <c r="A10" s="410">
        <v>5</v>
      </c>
      <c r="B10" s="426">
        <v>55</v>
      </c>
      <c r="C10" s="429" t="s">
        <v>29</v>
      </c>
      <c r="D10" s="70"/>
      <c r="E10" s="614"/>
      <c r="F10" s="617"/>
      <c r="G10" s="618"/>
      <c r="H10" s="615"/>
      <c r="I10" s="615"/>
      <c r="J10" s="615"/>
    </row>
    <row r="11" spans="1:39" ht="18.75" customHeight="1">
      <c r="A11" s="410">
        <v>6</v>
      </c>
      <c r="B11" s="426">
        <v>547</v>
      </c>
      <c r="C11" s="429" t="s">
        <v>16</v>
      </c>
      <c r="D11" s="70"/>
      <c r="E11" s="614"/>
      <c r="F11" s="617"/>
      <c r="G11" s="618"/>
      <c r="H11" s="615"/>
      <c r="I11" s="615"/>
      <c r="J11" s="615"/>
    </row>
    <row r="12" spans="1:39" ht="38.25" customHeight="1">
      <c r="A12" s="410">
        <v>7</v>
      </c>
      <c r="B12" s="426" t="s">
        <v>30</v>
      </c>
      <c r="C12" s="429" t="s">
        <v>31</v>
      </c>
      <c r="D12" s="70"/>
      <c r="E12" s="614"/>
      <c r="F12" s="617"/>
      <c r="G12" s="618"/>
      <c r="H12" s="615"/>
      <c r="I12" s="615"/>
      <c r="J12" s="615"/>
    </row>
    <row r="13" spans="1:39" ht="38.25">
      <c r="A13" s="410">
        <v>8</v>
      </c>
      <c r="B13" s="426">
        <v>546</v>
      </c>
      <c r="C13" s="429" t="s">
        <v>67</v>
      </c>
      <c r="D13" s="70"/>
      <c r="E13" s="614"/>
      <c r="F13" s="617"/>
      <c r="G13" s="618"/>
      <c r="H13" s="615"/>
      <c r="I13" s="615"/>
      <c r="J13" s="615"/>
    </row>
    <row r="14" spans="1:39" ht="18" customHeight="1">
      <c r="A14" s="410">
        <v>9</v>
      </c>
      <c r="B14" s="426">
        <v>53</v>
      </c>
      <c r="C14" s="429" t="s">
        <v>32</v>
      </c>
      <c r="D14" s="70"/>
      <c r="E14" s="631"/>
      <c r="F14" s="617"/>
      <c r="G14" s="618"/>
      <c r="H14" s="615"/>
      <c r="I14" s="615"/>
      <c r="J14" s="615"/>
    </row>
    <row r="15" spans="1:39" ht="17.25" customHeight="1">
      <c r="A15" s="412">
        <v>10</v>
      </c>
      <c r="B15" s="430"/>
      <c r="C15" s="431" t="s">
        <v>33</v>
      </c>
      <c r="D15" s="74"/>
      <c r="E15" s="619">
        <f t="shared" ref="E15:J15" si="0">E6+E7+E8+E9+E10+E11+E12+E13+E14</f>
        <v>0</v>
      </c>
      <c r="F15" s="620">
        <f>F6+F7+F8+F9+F10+F11+F12+F13+F14</f>
        <v>0</v>
      </c>
      <c r="G15" s="621">
        <f t="shared" si="0"/>
        <v>0</v>
      </c>
      <c r="H15" s="622">
        <f t="shared" si="0"/>
        <v>0</v>
      </c>
      <c r="I15" s="619">
        <f t="shared" si="0"/>
        <v>0</v>
      </c>
      <c r="J15" s="619">
        <f t="shared" si="0"/>
        <v>0</v>
      </c>
    </row>
    <row r="16" spans="1:39" ht="51">
      <c r="A16" s="406">
        <v>11</v>
      </c>
      <c r="B16" s="599" t="s">
        <v>48</v>
      </c>
      <c r="C16" s="429" t="s">
        <v>18</v>
      </c>
      <c r="D16" s="34"/>
      <c r="E16" s="614"/>
      <c r="F16" s="615"/>
      <c r="G16" s="618"/>
      <c r="H16" s="615"/>
      <c r="I16" s="614"/>
      <c r="J16" s="614"/>
    </row>
    <row r="17" spans="1:10" ht="21.75" customHeight="1">
      <c r="A17" s="406">
        <v>12</v>
      </c>
      <c r="B17" s="428" t="s">
        <v>34</v>
      </c>
      <c r="C17" s="429" t="s">
        <v>35</v>
      </c>
      <c r="D17" s="70"/>
      <c r="E17" s="614"/>
      <c r="F17" s="615"/>
      <c r="G17" s="618"/>
      <c r="H17" s="615"/>
      <c r="I17" s="614"/>
      <c r="J17" s="614"/>
    </row>
    <row r="18" spans="1:10" ht="25.5">
      <c r="A18" s="406">
        <v>13</v>
      </c>
      <c r="B18" s="599" t="s">
        <v>36</v>
      </c>
      <c r="C18" s="429" t="s">
        <v>37</v>
      </c>
      <c r="D18" s="70"/>
      <c r="E18" s="614"/>
      <c r="F18" s="615"/>
      <c r="G18" s="618"/>
      <c r="H18" s="615"/>
      <c r="I18" s="614"/>
      <c r="J18" s="614"/>
    </row>
    <row r="19" spans="1:10" ht="17.25" customHeight="1">
      <c r="A19" s="406">
        <v>14</v>
      </c>
      <c r="B19" s="428">
        <v>66</v>
      </c>
      <c r="C19" s="429" t="s">
        <v>19</v>
      </c>
      <c r="D19" s="70"/>
      <c r="E19" s="614"/>
      <c r="F19" s="615"/>
      <c r="G19" s="618"/>
      <c r="H19" s="615"/>
      <c r="I19" s="614"/>
      <c r="J19" s="614"/>
    </row>
    <row r="20" spans="1:10" ht="25.5">
      <c r="A20" s="406">
        <v>15</v>
      </c>
      <c r="B20" s="428">
        <v>71</v>
      </c>
      <c r="C20" s="429" t="s">
        <v>250</v>
      </c>
      <c r="D20" s="70"/>
      <c r="E20" s="614"/>
      <c r="F20" s="615"/>
      <c r="G20" s="618"/>
      <c r="H20" s="615"/>
      <c r="I20" s="614"/>
      <c r="J20" s="614"/>
    </row>
    <row r="21" spans="1:10" ht="25.5">
      <c r="A21" s="406">
        <v>16</v>
      </c>
      <c r="B21" s="428">
        <v>73</v>
      </c>
      <c r="C21" s="429" t="s">
        <v>38</v>
      </c>
      <c r="D21" s="70"/>
      <c r="E21" s="614"/>
      <c r="F21" s="615"/>
      <c r="G21" s="618"/>
      <c r="H21" s="615"/>
      <c r="I21" s="614"/>
      <c r="J21" s="614"/>
    </row>
    <row r="22" spans="1:10" ht="21" customHeight="1">
      <c r="A22" s="406">
        <v>17</v>
      </c>
      <c r="B22" s="428">
        <v>72</v>
      </c>
      <c r="C22" s="429" t="s">
        <v>39</v>
      </c>
      <c r="D22" s="70"/>
      <c r="E22" s="614"/>
      <c r="F22" s="615"/>
      <c r="G22" s="618"/>
      <c r="H22" s="615"/>
      <c r="I22" s="614"/>
      <c r="J22" s="614"/>
    </row>
    <row r="23" spans="1:10" ht="19.5" customHeight="1">
      <c r="A23" s="406">
        <v>18</v>
      </c>
      <c r="B23" s="428" t="s">
        <v>40</v>
      </c>
      <c r="C23" s="429" t="s">
        <v>41</v>
      </c>
      <c r="D23" s="70"/>
      <c r="E23" s="614"/>
      <c r="F23" s="615"/>
      <c r="G23" s="618"/>
      <c r="H23" s="615"/>
      <c r="I23" s="614"/>
      <c r="J23" s="614"/>
    </row>
    <row r="24" spans="1:10" ht="22.5" customHeight="1">
      <c r="A24" s="413">
        <v>19</v>
      </c>
      <c r="B24" s="600"/>
      <c r="C24" s="601" t="s">
        <v>42</v>
      </c>
      <c r="D24" s="75"/>
      <c r="E24" s="619">
        <f t="shared" ref="E24:I24" si="1">E16+E17+E18+E19+E20+E21+E22+E23</f>
        <v>0</v>
      </c>
      <c r="F24" s="620">
        <f t="shared" si="1"/>
        <v>0</v>
      </c>
      <c r="G24" s="621">
        <f>G16+G17+G18+G19+G20+G21+G22+G23</f>
        <v>0</v>
      </c>
      <c r="H24" s="622">
        <f t="shared" si="1"/>
        <v>0</v>
      </c>
      <c r="I24" s="619">
        <f t="shared" si="1"/>
        <v>0</v>
      </c>
      <c r="J24" s="619">
        <f>J16+J17+J18+J19+J20+J21+J22+J23</f>
        <v>0</v>
      </c>
    </row>
    <row r="25" spans="1:10" ht="15.75" customHeight="1">
      <c r="A25" s="413">
        <v>20</v>
      </c>
      <c r="B25" s="602"/>
      <c r="C25" s="603" t="s">
        <v>43</v>
      </c>
      <c r="D25" s="76"/>
      <c r="E25" s="623" t="str">
        <f>IF(OR(SUM(E15),SUM(E24)),SUM(E15-E24),"")</f>
        <v/>
      </c>
      <c r="F25" s="623" t="str">
        <f t="shared" ref="F25:J25" si="2">IF(OR(SUM(F15),SUM(F24)),SUM(F15-F24),"")</f>
        <v/>
      </c>
      <c r="G25" s="624" t="str">
        <f t="shared" si="2"/>
        <v/>
      </c>
      <c r="H25" s="623" t="str">
        <f t="shared" si="2"/>
        <v/>
      </c>
      <c r="I25" s="623" t="str">
        <f t="shared" si="2"/>
        <v/>
      </c>
      <c r="J25" s="623" t="str">
        <f t="shared" si="2"/>
        <v/>
      </c>
    </row>
    <row r="26" spans="1:10" ht="16.5" customHeight="1">
      <c r="A26" s="406">
        <v>21</v>
      </c>
      <c r="B26" s="428">
        <v>56.57</v>
      </c>
      <c r="C26" s="429" t="s">
        <v>44</v>
      </c>
      <c r="D26" s="70"/>
      <c r="E26" s="614"/>
      <c r="F26" s="615"/>
      <c r="G26" s="618"/>
      <c r="H26" s="615"/>
      <c r="I26" s="614"/>
      <c r="J26" s="614"/>
    </row>
    <row r="27" spans="1:10" ht="18" customHeight="1">
      <c r="A27" s="406">
        <v>22</v>
      </c>
      <c r="B27" s="428">
        <v>77</v>
      </c>
      <c r="C27" s="429" t="s">
        <v>251</v>
      </c>
      <c r="D27" s="70"/>
      <c r="E27" s="614"/>
      <c r="F27" s="615"/>
      <c r="G27" s="618"/>
      <c r="H27" s="615"/>
      <c r="I27" s="614"/>
      <c r="J27" s="614"/>
    </row>
    <row r="28" spans="1:10" ht="21" customHeight="1">
      <c r="A28" s="413">
        <v>23</v>
      </c>
      <c r="B28" s="604"/>
      <c r="C28" s="605" t="s">
        <v>21</v>
      </c>
      <c r="D28" s="77"/>
      <c r="E28" s="623" t="str">
        <f t="shared" ref="E28:J28" si="3">IF(OR(SUM(E26),SUM(E27)),SUM(E26-E27),"")</f>
        <v/>
      </c>
      <c r="F28" s="625" t="str">
        <f t="shared" si="3"/>
        <v/>
      </c>
      <c r="G28" s="624" t="str">
        <f t="shared" si="3"/>
        <v/>
      </c>
      <c r="H28" s="626" t="str">
        <f t="shared" si="3"/>
        <v/>
      </c>
      <c r="I28" s="623" t="str">
        <f t="shared" si="3"/>
        <v/>
      </c>
      <c r="J28" s="623" t="str">
        <f t="shared" si="3"/>
        <v/>
      </c>
    </row>
    <row r="29" spans="1:10" ht="25.5" customHeight="1">
      <c r="A29" s="413">
        <v>24</v>
      </c>
      <c r="B29" s="604"/>
      <c r="C29" s="605" t="s">
        <v>106</v>
      </c>
      <c r="D29" s="77"/>
      <c r="E29" s="623" t="str">
        <f>IF(OR(SUM(E15),SUM(E26)),SUM(E15+E26),"")</f>
        <v/>
      </c>
      <c r="F29" s="625" t="str">
        <f t="shared" ref="F29:J29" si="4">IF(OR(SUM(F15),SUM(F26)),SUM(F15+F26),"")</f>
        <v/>
      </c>
      <c r="G29" s="624" t="str">
        <f t="shared" si="4"/>
        <v/>
      </c>
      <c r="H29" s="626" t="str">
        <f t="shared" si="4"/>
        <v/>
      </c>
      <c r="I29" s="623" t="str">
        <f t="shared" si="4"/>
        <v/>
      </c>
      <c r="J29" s="623" t="str">
        <f t="shared" si="4"/>
        <v/>
      </c>
    </row>
    <row r="30" spans="1:10" ht="29.25" customHeight="1">
      <c r="A30" s="413">
        <v>25</v>
      </c>
      <c r="B30" s="604"/>
      <c r="C30" s="605" t="s">
        <v>107</v>
      </c>
      <c r="D30" s="77"/>
      <c r="E30" s="619">
        <f t="shared" ref="E30:J30" si="5">E24+E27</f>
        <v>0</v>
      </c>
      <c r="F30" s="620">
        <f t="shared" si="5"/>
        <v>0</v>
      </c>
      <c r="G30" s="621">
        <f t="shared" si="5"/>
        <v>0</v>
      </c>
      <c r="H30" s="622">
        <f t="shared" si="5"/>
        <v>0</v>
      </c>
      <c r="I30" s="619">
        <f t="shared" si="5"/>
        <v>0</v>
      </c>
      <c r="J30" s="619">
        <f t="shared" si="5"/>
        <v>0</v>
      </c>
    </row>
    <row r="31" spans="1:10" ht="15.75" customHeight="1">
      <c r="A31" s="413">
        <v>26</v>
      </c>
      <c r="B31" s="604"/>
      <c r="C31" s="605" t="s">
        <v>22</v>
      </c>
      <c r="D31" s="76"/>
      <c r="E31" s="623" t="str">
        <f>IF(OR(SUM(E29),SUM(E30)),SUM(E29)-SUM(E30),"")</f>
        <v/>
      </c>
      <c r="F31" s="625" t="str">
        <f t="shared" ref="F31:J31" si="6">IF(OR(SUM(F29),SUM(F30)),SUM(F29)-SUM(F30),"")</f>
        <v/>
      </c>
      <c r="G31" s="624" t="str">
        <f t="shared" si="6"/>
        <v/>
      </c>
      <c r="H31" s="626" t="str">
        <f t="shared" si="6"/>
        <v/>
      </c>
      <c r="I31" s="623" t="str">
        <f t="shared" si="6"/>
        <v/>
      </c>
      <c r="J31" s="623" t="str">
        <f t="shared" si="6"/>
        <v/>
      </c>
    </row>
    <row r="32" spans="1:10" ht="18.75" customHeight="1">
      <c r="A32" s="406">
        <v>27</v>
      </c>
      <c r="B32" s="428">
        <v>59</v>
      </c>
      <c r="C32" s="429" t="s">
        <v>45</v>
      </c>
      <c r="D32" s="70"/>
      <c r="E32" s="614"/>
      <c r="F32" s="615"/>
      <c r="G32" s="618"/>
      <c r="H32" s="615"/>
      <c r="I32" s="614"/>
      <c r="J32" s="614"/>
    </row>
    <row r="33" spans="1:11" ht="18.75" customHeight="1">
      <c r="A33" s="406">
        <v>28</v>
      </c>
      <c r="B33" s="428">
        <v>79</v>
      </c>
      <c r="C33" s="429" t="s">
        <v>46</v>
      </c>
      <c r="D33" s="70"/>
      <c r="E33" s="614"/>
      <c r="F33" s="615"/>
      <c r="G33" s="618"/>
      <c r="H33" s="615"/>
      <c r="I33" s="614"/>
      <c r="J33" s="614"/>
    </row>
    <row r="34" spans="1:11" ht="17.25" customHeight="1">
      <c r="A34" s="413">
        <v>29</v>
      </c>
      <c r="B34" s="604"/>
      <c r="C34" s="605" t="s">
        <v>23</v>
      </c>
      <c r="D34" s="77"/>
      <c r="E34" s="625" t="str">
        <f>IF(AND(E32="",E33=""),"",E32-E33)</f>
        <v/>
      </c>
      <c r="F34" s="625" t="str">
        <f>IF(AND(F32="",F33=""),"",F32-F33)</f>
        <v/>
      </c>
      <c r="G34" s="624" t="str">
        <f>IF(AND(G32="",G33=""),"",G32-G33)</f>
        <v/>
      </c>
      <c r="H34" s="627" t="str">
        <f t="shared" ref="H34:J34" si="7">IF(AND(H32="",H33=""),"",H32-H33)</f>
        <v/>
      </c>
      <c r="I34" s="625" t="str">
        <f t="shared" si="7"/>
        <v/>
      </c>
      <c r="J34" s="625" t="str">
        <f t="shared" si="7"/>
        <v/>
      </c>
    </row>
    <row r="35" spans="1:11" ht="17.25" customHeight="1" thickBot="1">
      <c r="A35" s="413">
        <v>30</v>
      </c>
      <c r="B35" s="604"/>
      <c r="C35" s="605" t="s">
        <v>24</v>
      </c>
      <c r="D35" s="77"/>
      <c r="E35" s="623" t="str">
        <f t="shared" ref="E35:J35" si="8">IF(OR(SUM(E31),SUM(E34)),SUM(E31)+SUM(E34),E31)</f>
        <v/>
      </c>
      <c r="F35" s="625" t="str">
        <f t="shared" si="8"/>
        <v/>
      </c>
      <c r="G35" s="628" t="str">
        <f t="shared" si="8"/>
        <v/>
      </c>
      <c r="H35" s="626" t="str">
        <f t="shared" si="8"/>
        <v/>
      </c>
      <c r="I35" s="623" t="str">
        <f t="shared" si="8"/>
        <v/>
      </c>
      <c r="J35" s="623" t="str">
        <f t="shared" si="8"/>
        <v/>
      </c>
      <c r="K35" s="246"/>
    </row>
    <row r="36" spans="1:11">
      <c r="A36" s="21"/>
      <c r="B36" s="20"/>
      <c r="C36" s="25"/>
      <c r="D36" s="23"/>
      <c r="E36" s="386"/>
      <c r="F36" s="22"/>
      <c r="G36" s="629" t="str">
        <f>IF(G31&lt;0,"Bitte im Blatt KASH Planjahr unter 1 angeben, ob ein Ausgleich des Plandefizits durch die ordentliche Rücklage geplant ist.","")</f>
        <v/>
      </c>
      <c r="H36" s="26"/>
      <c r="I36" s="26"/>
      <c r="J36" s="26"/>
    </row>
    <row r="37" spans="1:11">
      <c r="A37" s="26"/>
      <c r="B37" s="407" t="s">
        <v>179</v>
      </c>
      <c r="C37" s="25"/>
      <c r="D37" s="23"/>
      <c r="E37" s="385"/>
      <c r="F37" s="22"/>
      <c r="G37" s="26"/>
      <c r="H37" s="26"/>
      <c r="I37" s="26"/>
      <c r="J37" s="26"/>
    </row>
    <row r="38" spans="1:11" ht="6.75" customHeight="1">
      <c r="A38" s="26"/>
      <c r="B38" s="407"/>
      <c r="C38" s="25"/>
      <c r="D38" s="23"/>
      <c r="E38" s="22"/>
      <c r="F38" s="22"/>
      <c r="G38" s="26"/>
      <c r="H38" s="26"/>
      <c r="I38" s="26"/>
      <c r="J38" s="26"/>
    </row>
    <row r="39" spans="1:11" ht="22.5" customHeight="1">
      <c r="A39" s="413">
        <v>31</v>
      </c>
      <c r="B39" s="413"/>
      <c r="C39" s="606" t="str">
        <f>IF(Deckblatt!$G$7="","Hochrechnung ordentliches Ergebnis",CONCATENATE("Hochrechnung ordentliches Ergebnis zum 31.12.",Deckblatt!$E$14-1))</f>
        <v>Hochrechnung ordentliches Ergebnis</v>
      </c>
      <c r="D39" s="78"/>
      <c r="E39" s="22"/>
      <c r="F39" s="288"/>
      <c r="G39" s="630"/>
      <c r="H39" s="26"/>
      <c r="I39" s="26"/>
      <c r="J39" s="26"/>
    </row>
    <row r="40" spans="1:11" ht="7.5" customHeight="1">
      <c r="A40" s="21"/>
      <c r="B40" s="20"/>
      <c r="C40" s="142"/>
      <c r="D40" s="23"/>
      <c r="E40" s="22"/>
      <c r="F40" s="22"/>
      <c r="G40" s="26"/>
      <c r="H40" s="26"/>
      <c r="I40" s="26"/>
      <c r="J40" s="26"/>
    </row>
    <row r="41" spans="1:11" ht="36.75" customHeight="1">
      <c r="A41" s="413">
        <v>32</v>
      </c>
      <c r="B41" s="413"/>
      <c r="C41" s="961" t="str">
        <f>IF(Deckblatt!$G$7="","Summe vorgetragene Jahresfehlbeträge",CONCATENATE("Summe vorgetragene Jahresfehlbeträge zum 31.12.",Deckblatt!$E$14-2))</f>
        <v>Summe vorgetragene Jahresfehlbeträge</v>
      </c>
      <c r="D41" s="962"/>
      <c r="E41" s="288"/>
      <c r="F41" s="26"/>
      <c r="G41" s="26"/>
      <c r="H41" s="26"/>
      <c r="I41" s="26"/>
      <c r="J41" s="26"/>
    </row>
    <row r="42" spans="1:11">
      <c r="A42" s="21"/>
      <c r="B42" s="20"/>
      <c r="C42" s="25"/>
      <c r="D42" s="23"/>
      <c r="E42" s="247"/>
      <c r="F42" s="24"/>
    </row>
    <row r="43" spans="1:11">
      <c r="A43" s="21"/>
      <c r="B43" s="20"/>
      <c r="C43" s="25"/>
      <c r="D43" s="23"/>
      <c r="E43" s="22"/>
      <c r="F43" s="24"/>
    </row>
    <row r="44" spans="1:11">
      <c r="A44" s="21"/>
      <c r="B44" s="20"/>
      <c r="C44" s="25"/>
      <c r="D44" s="23"/>
      <c r="E44" s="22"/>
      <c r="F44" s="24"/>
    </row>
    <row r="45" spans="1:11">
      <c r="A45" s="21"/>
      <c r="B45" s="20"/>
      <c r="C45" s="25"/>
      <c r="D45" s="23"/>
      <c r="E45" s="22"/>
      <c r="F45" s="24"/>
    </row>
    <row r="46" spans="1:11">
      <c r="A46" s="21"/>
      <c r="B46" s="20"/>
      <c r="C46" s="25"/>
      <c r="D46" s="23"/>
      <c r="E46" s="22"/>
      <c r="F46" s="24"/>
    </row>
    <row r="47" spans="1:11">
      <c r="A47" s="21"/>
      <c r="B47" s="20"/>
      <c r="C47" s="25"/>
      <c r="D47" s="23"/>
      <c r="E47" s="22"/>
      <c r="F47" s="141"/>
    </row>
    <row r="48" spans="1:11">
      <c r="A48" s="21"/>
      <c r="B48" s="20"/>
      <c r="C48" s="25"/>
      <c r="D48" s="23"/>
      <c r="E48" s="22"/>
      <c r="F48" s="24"/>
    </row>
    <row r="49" spans="1:6">
      <c r="A49" s="21"/>
      <c r="B49" s="20"/>
      <c r="C49" s="25"/>
      <c r="D49" s="23"/>
      <c r="E49" s="22"/>
      <c r="F49" s="24"/>
    </row>
    <row r="50" spans="1:6">
      <c r="A50" s="21"/>
      <c r="B50" s="20"/>
      <c r="C50" s="25"/>
      <c r="D50" s="23"/>
      <c r="E50" s="22"/>
      <c r="F50" s="24"/>
    </row>
    <row r="51" spans="1:6">
      <c r="A51" s="26"/>
      <c r="B51" s="26"/>
      <c r="C51" s="26"/>
      <c r="D51" s="26"/>
      <c r="E51" s="22"/>
      <c r="F51" s="24"/>
    </row>
    <row r="52" spans="1:6">
      <c r="A52" s="26"/>
      <c r="B52" s="26"/>
      <c r="C52" s="26"/>
      <c r="D52" s="26"/>
      <c r="E52" s="22"/>
      <c r="F52" s="24"/>
    </row>
    <row r="53" spans="1:6">
      <c r="A53" s="26"/>
      <c r="B53" s="26"/>
      <c r="C53" s="26"/>
      <c r="D53" s="26"/>
      <c r="E53" s="22"/>
      <c r="F53" s="24"/>
    </row>
    <row r="54" spans="1:6">
      <c r="A54" s="26"/>
      <c r="B54" s="26"/>
      <c r="C54" s="26"/>
      <c r="D54" s="26"/>
      <c r="E54" s="22"/>
      <c r="F54" s="24"/>
    </row>
    <row r="55" spans="1:6">
      <c r="A55" s="26"/>
      <c r="B55" s="26"/>
      <c r="C55" s="26"/>
      <c r="D55" s="26"/>
      <c r="E55" s="22"/>
      <c r="F55" s="24"/>
    </row>
    <row r="56" spans="1:6">
      <c r="A56" s="26"/>
      <c r="B56" s="26"/>
      <c r="C56" s="26"/>
      <c r="D56" s="26"/>
      <c r="E56" s="22"/>
      <c r="F56" s="24"/>
    </row>
    <row r="57" spans="1:6">
      <c r="A57" s="26"/>
      <c r="B57" s="26"/>
      <c r="C57" s="26"/>
      <c r="D57" s="26"/>
      <c r="E57" s="22"/>
      <c r="F57" s="24"/>
    </row>
    <row r="58" spans="1:6">
      <c r="A58" s="26"/>
      <c r="B58" s="26"/>
      <c r="C58" s="26"/>
      <c r="D58" s="26"/>
      <c r="E58" s="22"/>
      <c r="F58" s="24"/>
    </row>
    <row r="59" spans="1:6">
      <c r="A59" s="26"/>
      <c r="B59" s="26"/>
      <c r="C59" s="26"/>
      <c r="D59" s="26"/>
      <c r="E59" s="22"/>
      <c r="F59" s="24"/>
    </row>
    <row r="60" spans="1:6">
      <c r="A60" s="26"/>
      <c r="B60" s="26"/>
      <c r="C60" s="26"/>
      <c r="D60" s="26"/>
      <c r="E60" s="22"/>
      <c r="F60" s="24"/>
    </row>
    <row r="61" spans="1:6">
      <c r="A61" s="26"/>
      <c r="B61" s="26"/>
      <c r="C61" s="26"/>
      <c r="D61" s="26"/>
      <c r="E61" s="22"/>
      <c r="F61" s="24"/>
    </row>
    <row r="62" spans="1:6">
      <c r="A62" s="26"/>
      <c r="B62" s="26"/>
      <c r="C62" s="26"/>
      <c r="D62" s="26"/>
      <c r="E62" s="22"/>
      <c r="F62" s="24"/>
    </row>
    <row r="63" spans="1:6">
      <c r="A63" s="26"/>
      <c r="B63" s="26"/>
      <c r="C63" s="26"/>
      <c r="D63" s="26"/>
      <c r="E63" s="22"/>
      <c r="F63" s="24"/>
    </row>
    <row r="64" spans="1:6">
      <c r="A64" s="26"/>
      <c r="B64" s="26"/>
      <c r="C64" s="26"/>
      <c r="D64" s="26"/>
      <c r="E64" s="22"/>
      <c r="F64" s="24"/>
    </row>
    <row r="65" spans="1:5">
      <c r="A65" s="26"/>
      <c r="B65" s="26"/>
      <c r="C65" s="26"/>
      <c r="D65" s="26"/>
      <c r="E65" s="26"/>
    </row>
    <row r="66" spans="1:5">
      <c r="A66" s="26"/>
      <c r="B66" s="26"/>
      <c r="C66" s="26"/>
      <c r="D66" s="26"/>
      <c r="E66" s="26"/>
    </row>
    <row r="67" spans="1:5">
      <c r="A67" s="26"/>
      <c r="B67" s="26"/>
      <c r="C67" s="26"/>
      <c r="D67" s="26"/>
      <c r="E67" s="26"/>
    </row>
    <row r="68" spans="1:5">
      <c r="A68" s="26"/>
      <c r="B68" s="26"/>
      <c r="C68" s="26"/>
      <c r="D68" s="26"/>
      <c r="E68" s="26"/>
    </row>
    <row r="69" spans="1:5">
      <c r="A69" s="26"/>
      <c r="B69" s="26"/>
      <c r="C69" s="26"/>
      <c r="D69" s="26"/>
      <c r="E69" s="26"/>
    </row>
    <row r="70" spans="1:5">
      <c r="A70" s="26"/>
      <c r="B70" s="26"/>
      <c r="C70" s="26"/>
      <c r="D70" s="26"/>
      <c r="E70" s="26"/>
    </row>
    <row r="71" spans="1:5">
      <c r="A71" s="26"/>
      <c r="B71" s="26"/>
      <c r="C71" s="26"/>
      <c r="D71" s="26"/>
      <c r="E71" s="26"/>
    </row>
    <row r="72" spans="1:5">
      <c r="A72" s="26"/>
      <c r="B72" s="26"/>
      <c r="C72" s="26"/>
      <c r="D72" s="26"/>
      <c r="E72" s="26"/>
    </row>
    <row r="73" spans="1:5">
      <c r="A73" s="26"/>
      <c r="B73" s="26"/>
      <c r="C73" s="26"/>
      <c r="D73" s="26"/>
      <c r="E73" s="26"/>
    </row>
    <row r="74" spans="1:5">
      <c r="A74" s="26"/>
      <c r="B74" s="26"/>
      <c r="C74" s="26"/>
      <c r="D74" s="26"/>
      <c r="E74" s="26"/>
    </row>
    <row r="75" spans="1:5">
      <c r="A75" s="26"/>
      <c r="B75" s="26"/>
      <c r="C75" s="26"/>
      <c r="D75" s="26"/>
      <c r="E75" s="26"/>
    </row>
    <row r="76" spans="1:5">
      <c r="A76" s="26"/>
      <c r="B76" s="26"/>
      <c r="C76" s="26"/>
      <c r="D76" s="26"/>
      <c r="E76" s="26"/>
    </row>
    <row r="77" spans="1:5">
      <c r="A77" s="26"/>
      <c r="B77" s="26"/>
      <c r="C77" s="26"/>
      <c r="D77" s="26"/>
      <c r="E77" s="26"/>
    </row>
    <row r="78" spans="1:5">
      <c r="A78" s="26"/>
      <c r="B78" s="26"/>
      <c r="C78" s="26"/>
      <c r="D78" s="26"/>
      <c r="E78" s="26"/>
    </row>
    <row r="79" spans="1:5">
      <c r="A79" s="26"/>
      <c r="B79" s="26"/>
      <c r="C79" s="26"/>
      <c r="D79" s="26"/>
      <c r="E79" s="26"/>
    </row>
  </sheetData>
  <sheetProtection algorithmName="SHA-512" hashValue="/2NvbFnHKN98QNI8jOl4z2xZoVDAl3CFbM3dWTLEhGYmLqS1OJxQbQE6hjteReHBqC8VbJkEz2nI5L2TOeTx+A==" saltValue="DR+n0kt0aZeLhQe1Owol/g==" spinCount="100000" sheet="1" objects="1" scenarios="1"/>
  <mergeCells count="2">
    <mergeCell ref="E4:J4"/>
    <mergeCell ref="C41:D41"/>
  </mergeCells>
  <phoneticPr fontId="17" type="noConversion"/>
  <dataValidations count="6">
    <dataValidation type="list" allowBlank="1" showInputMessage="1" showErrorMessage="1" prompt="Bitte auswählen, ob die Angaben auf dem Stand des Haushaltsplans oder eines Nachtragshaushaltsplans beruhen." sqref="F2">
      <formula1>"Bitte auswählen, Haushaltsplan, Nachtragshaushaltsplan"</formula1>
    </dataValidation>
    <dataValidation type="list" allowBlank="1" showInputMessage="1" showErrorMessage="1" prompt="Bitte auswählen, ob die Angaben auf einem endgültigem oder auf einem einem vorläufigen Rechnungsergebnis oder hilfsweise auf einem (Nachtrags-) Planwert beruhen." sqref="E2">
      <formula1>"Bitte auswählen, Haushaltsplan,Nachtragshaushaltsplan,vorläufiges Rechnungsergebnis, endgültiges Rechnungsergebnis"</formula1>
    </dataValidation>
    <dataValidation type="decimal" errorStyle="information" allowBlank="1" showErrorMessage="1" error="Grundsätzlich sind nur positive Werte zulässig. Bitte prüfen Sie daher, ob der einzutragende Wert ausnahmsweise nach der Planung bzw. dem Rechnungsergebnis negativ sein muss. " prompt="Grundsätzlich sind nur positive Werte zulässig. Bitte prüfen Sie daher, ob der einzutragende Wert ausnahmsweise nach der Planung bzw. dem Rechnungsergebnis negativ sein muss. " sqref="E6:E14">
      <formula1>0</formula1>
      <formula2>9.99999999999999E+28</formula2>
    </dataValidation>
    <dataValidation type="decimal" errorStyle="information" allowBlank="1" showErrorMessage="1" error="Grundsätzlich sind nur positive Werte zulässig. Bitte prüfen Sie daher, ob der einzutragende Wert ausnahmsweise nach der Planung bzw. dem Rechnungsergebnis negativ sein muss. " sqref="F6:F14 H6:J14">
      <formula1>0</formula1>
      <formula2>9.99999999999999E+23</formula2>
    </dataValidation>
    <dataValidation type="decimal" errorStyle="information" allowBlank="1" showErrorMessage="1" error="Grundsätzlich sind nur positive Werte zulässig. Bitte prüfen Sie daher, ob der einzutragende Wert ausnahmsweise nach der Planung bzw. dem Rechnungsergebnis negativ sein muss. " sqref="G6:G14">
      <formula1>0</formula1>
      <formula2>999999999999999000000</formula2>
    </dataValidation>
    <dataValidation type="decimal" errorStyle="information" allowBlank="1" showErrorMessage="1" error="Grundsätzlich sind nur positive Werte zulässig. Bitte prüfen Sie daher, ob der einzutragende Wert ausnahmsweise nach der Planung bzw. dem Rechnungsergebnis negativ sein muss. " sqref="E32:J33 E26:J27 E16:F23 H16:J23 G16:G19 G21:G23">
      <formula1>0</formula1>
      <formula2>999999999999999000</formula2>
    </dataValidation>
  </dataValidations>
  <printOptions horizontalCentered="1" verticalCentered="1"/>
  <pageMargins left="0.25" right="0.25" top="0.75" bottom="0.75" header="0.3" footer="0.3"/>
  <pageSetup paperSize="9" scale="54"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P72"/>
  <sheetViews>
    <sheetView showGridLines="0" zoomScale="85" zoomScaleNormal="85" zoomScalePageLayoutView="55" workbookViewId="0">
      <selection activeCell="F26" sqref="F26"/>
    </sheetView>
  </sheetViews>
  <sheetFormatPr baseColWidth="10" defaultColWidth="8.875" defaultRowHeight="28.5" customHeight="1"/>
  <cols>
    <col min="1" max="1" width="5.375" style="18" customWidth="1"/>
    <col min="2" max="2" width="6.125" style="18" bestFit="1" customWidth="1"/>
    <col min="3" max="3" width="37.375" style="18" customWidth="1"/>
    <col min="4" max="4" width="2.875" style="18" customWidth="1"/>
    <col min="5" max="5" width="26.625" style="18" bestFit="1" customWidth="1"/>
    <col min="6" max="10" width="23.25" style="18" customWidth="1"/>
    <col min="11" max="16384" width="8.875" style="18"/>
  </cols>
  <sheetData>
    <row r="1" spans="1:42" ht="28.5" customHeight="1" thickBot="1">
      <c r="A1" s="407" t="s">
        <v>66</v>
      </c>
      <c r="E1" s="222" t="str">
        <f>IF($G$1&gt;0,$G$1-2,"")</f>
        <v/>
      </c>
      <c r="F1" s="222" t="str">
        <f>IF($G$1&gt;0,$G$1-1,"")</f>
        <v/>
      </c>
      <c r="G1" s="221">
        <f>Deckblatt!E14</f>
        <v>0</v>
      </c>
      <c r="H1" s="222" t="str">
        <f>IF($G$1&gt;0,$G$1+1,"")</f>
        <v/>
      </c>
      <c r="I1" s="222" t="str">
        <f>IF($G$1&gt;0,$G$1+2,"")</f>
        <v/>
      </c>
      <c r="J1" s="222" t="str">
        <f>IF($G$1&gt;0,$G$1+3,"")</f>
        <v/>
      </c>
    </row>
    <row r="2" spans="1:42" ht="28.5" customHeight="1">
      <c r="A2" s="27"/>
      <c r="B2" s="28"/>
      <c r="C2" s="29"/>
      <c r="D2" s="29"/>
      <c r="E2" s="439" t="str">
        <f>IF(Ergebnishaushalt!E2="Bitte auswählen","",Ergebnishaushalt!E2)</f>
        <v/>
      </c>
      <c r="F2" s="436" t="str">
        <f>IF(Ergebnishaushalt!F2="Bitte auswählen","",Ergebnishaushalt!F2)</f>
        <v/>
      </c>
      <c r="G2" s="437" t="str">
        <f>Ergebnishaushalt!G2</f>
        <v>Haushaltsplan</v>
      </c>
      <c r="H2" s="438" t="str">
        <f>Ergebnishaushalt!H2</f>
        <v>Ergebnisplan</v>
      </c>
      <c r="I2" s="438" t="str">
        <f>Ergebnishaushalt!I2</f>
        <v>Ergebnisplan</v>
      </c>
      <c r="J2" s="438" t="str">
        <f>Ergebnishaushalt!J2</f>
        <v>Ergebnisplan</v>
      </c>
    </row>
    <row r="3" spans="1:42" ht="28.5" customHeight="1">
      <c r="A3" s="86" t="s">
        <v>52</v>
      </c>
      <c r="B3" s="84" t="s">
        <v>53</v>
      </c>
      <c r="C3" s="84" t="s">
        <v>54</v>
      </c>
      <c r="D3" s="85"/>
      <c r="E3" s="963" t="s">
        <v>121</v>
      </c>
      <c r="F3" s="963"/>
      <c r="G3" s="963"/>
      <c r="H3" s="963"/>
      <c r="I3" s="963"/>
      <c r="J3" s="963"/>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2" ht="28.5" customHeight="1">
      <c r="A4" s="27"/>
      <c r="B4" s="31"/>
      <c r="C4" s="32"/>
      <c r="D4" s="32"/>
      <c r="E4" s="33"/>
      <c r="F4" s="33"/>
      <c r="G4" s="33"/>
      <c r="H4" s="33"/>
      <c r="I4" s="33"/>
      <c r="J4" s="33"/>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row>
    <row r="5" spans="1:42" ht="38.25" customHeight="1">
      <c r="A5" s="413">
        <v>5</v>
      </c>
      <c r="B5" s="414">
        <v>55</v>
      </c>
      <c r="C5" s="415" t="s">
        <v>29</v>
      </c>
      <c r="D5" s="75"/>
      <c r="E5" s="416">
        <f>Ergebnishaushalt!E10</f>
        <v>0</v>
      </c>
      <c r="F5" s="417">
        <f>Ergebnishaushalt!F10</f>
        <v>0</v>
      </c>
      <c r="G5" s="418">
        <f>Ergebnishaushalt!G10</f>
        <v>0</v>
      </c>
      <c r="H5" s="419">
        <f>Ergebnishaushalt!H10</f>
        <v>0</v>
      </c>
      <c r="I5" s="416">
        <f>Ergebnishaushalt!I10</f>
        <v>0</v>
      </c>
      <c r="J5" s="416">
        <f>Ergebnishaushalt!J10</f>
        <v>0</v>
      </c>
    </row>
    <row r="6" spans="1:42" ht="28.5" customHeight="1">
      <c r="A6" s="405" t="s">
        <v>63</v>
      </c>
      <c r="B6" s="401">
        <v>5500</v>
      </c>
      <c r="C6" s="964" t="s">
        <v>182</v>
      </c>
      <c r="D6" s="965"/>
      <c r="E6" s="440"/>
      <c r="F6" s="441"/>
      <c r="G6" s="442"/>
      <c r="H6" s="440"/>
      <c r="I6" s="440"/>
      <c r="J6" s="440"/>
    </row>
    <row r="7" spans="1:42" ht="28.5" customHeight="1">
      <c r="A7" s="36"/>
      <c r="B7" s="401">
        <v>5504</v>
      </c>
      <c r="C7" s="402" t="s">
        <v>183</v>
      </c>
      <c r="D7" s="403"/>
      <c r="E7" s="440"/>
      <c r="F7" s="441"/>
      <c r="G7" s="442"/>
      <c r="H7" s="440"/>
      <c r="I7" s="440"/>
      <c r="J7" s="440"/>
    </row>
    <row r="8" spans="1:42" s="118" customFormat="1" ht="28.5" customHeight="1">
      <c r="A8" s="117"/>
      <c r="B8" s="401">
        <v>5551</v>
      </c>
      <c r="C8" s="402" t="s">
        <v>187</v>
      </c>
      <c r="D8" s="404"/>
      <c r="E8" s="440"/>
      <c r="F8" s="441"/>
      <c r="G8" s="442"/>
      <c r="H8" s="440"/>
      <c r="I8" s="440"/>
      <c r="J8" s="440"/>
    </row>
    <row r="9" spans="1:42" ht="28.5" customHeight="1">
      <c r="A9" s="36"/>
      <c r="B9" s="401">
        <v>5552</v>
      </c>
      <c r="C9" s="402" t="s">
        <v>184</v>
      </c>
      <c r="D9" s="403"/>
      <c r="E9" s="440"/>
      <c r="F9" s="441"/>
      <c r="G9" s="442"/>
      <c r="H9" s="440"/>
      <c r="I9" s="440"/>
      <c r="J9" s="440"/>
    </row>
    <row r="10" spans="1:42" ht="28.5" customHeight="1">
      <c r="A10" s="36"/>
      <c r="B10" s="401">
        <v>5553</v>
      </c>
      <c r="C10" s="402" t="s">
        <v>185</v>
      </c>
      <c r="D10" s="403"/>
      <c r="E10" s="440"/>
      <c r="F10" s="441"/>
      <c r="G10" s="442"/>
      <c r="H10" s="440"/>
      <c r="I10" s="440"/>
      <c r="J10" s="440"/>
    </row>
    <row r="11" spans="1:42" s="118" customFormat="1" ht="28.5" customHeight="1">
      <c r="A11" s="117"/>
      <c r="B11" s="401">
        <v>5559</v>
      </c>
      <c r="C11" s="402" t="s">
        <v>175</v>
      </c>
      <c r="D11" s="404"/>
      <c r="E11" s="440"/>
      <c r="F11" s="441"/>
      <c r="G11" s="442"/>
      <c r="H11" s="440"/>
      <c r="I11" s="440"/>
      <c r="J11" s="440"/>
    </row>
    <row r="12" spans="1:42" ht="28.5" customHeight="1">
      <c r="A12" s="36"/>
      <c r="B12" s="401">
        <v>5582</v>
      </c>
      <c r="C12" s="402" t="s">
        <v>104</v>
      </c>
      <c r="D12" s="403"/>
      <c r="E12" s="440"/>
      <c r="F12" s="441"/>
      <c r="G12" s="442"/>
      <c r="H12" s="440"/>
      <c r="I12" s="440"/>
      <c r="J12" s="440"/>
    </row>
    <row r="13" spans="1:42" ht="28.5" customHeight="1">
      <c r="A13" s="36"/>
      <c r="B13" s="401">
        <v>5583</v>
      </c>
      <c r="C13" s="402" t="s">
        <v>186</v>
      </c>
      <c r="D13" s="403"/>
      <c r="E13" s="440"/>
      <c r="F13" s="441"/>
      <c r="G13" s="442"/>
      <c r="H13" s="440"/>
      <c r="I13" s="440"/>
      <c r="J13" s="440"/>
    </row>
    <row r="14" spans="1:42" ht="28.5" customHeight="1">
      <c r="A14" s="36"/>
      <c r="B14" s="58"/>
      <c r="C14" s="786" t="s">
        <v>854</v>
      </c>
      <c r="D14" s="34"/>
      <c r="E14" s="420" t="str">
        <f>IF(Ergebnishaushalt!E10="","",E5-SUM(E6:E13))</f>
        <v/>
      </c>
      <c r="F14" s="421" t="str">
        <f>IF(Ergebnishaushalt!F10="","",F5-SUM(F6:F13))</f>
        <v/>
      </c>
      <c r="G14" s="422" t="str">
        <f>IF(Ergebnishaushalt!G10="","",G5-SUM(G6:G13))</f>
        <v/>
      </c>
      <c r="H14" s="423" t="str">
        <f>IF(Ergebnishaushalt!H10="","",H5-SUM(H6:H13))</f>
        <v/>
      </c>
      <c r="I14" s="420" t="str">
        <f>IF(Ergebnishaushalt!I10="","",I5-SUM(I6:I13))</f>
        <v/>
      </c>
      <c r="J14" s="420" t="str">
        <f>IF(Ergebnishaushalt!J10="","",J5-SUM(J6:J13))</f>
        <v/>
      </c>
    </row>
    <row r="15" spans="1:42" ht="33" customHeight="1">
      <c r="A15" s="413">
        <v>7</v>
      </c>
      <c r="B15" s="414" t="s">
        <v>30</v>
      </c>
      <c r="C15" s="415" t="s">
        <v>31</v>
      </c>
      <c r="D15" s="75"/>
      <c r="E15" s="416">
        <f>Ergebnishaushalt!E12</f>
        <v>0</v>
      </c>
      <c r="F15" s="417">
        <f>Ergebnishaushalt!F12</f>
        <v>0</v>
      </c>
      <c r="G15" s="418">
        <f>Ergebnishaushalt!G12</f>
        <v>0</v>
      </c>
      <c r="H15" s="419">
        <f>Ergebnishaushalt!H12</f>
        <v>0</v>
      </c>
      <c r="I15" s="416">
        <f>Ergebnishaushalt!I12</f>
        <v>0</v>
      </c>
      <c r="J15" s="416">
        <f>Ergebnishaushalt!J12</f>
        <v>0</v>
      </c>
    </row>
    <row r="16" spans="1:42" ht="28.5" customHeight="1">
      <c r="A16" s="406" t="s">
        <v>63</v>
      </c>
      <c r="B16" s="401">
        <v>540101</v>
      </c>
      <c r="C16" s="788" t="s">
        <v>853</v>
      </c>
      <c r="D16" s="34"/>
      <c r="E16" s="443"/>
      <c r="F16" s="441"/>
      <c r="G16" s="442"/>
      <c r="H16" s="440"/>
      <c r="I16" s="440"/>
      <c r="J16" s="440"/>
    </row>
    <row r="17" spans="1:10" ht="28.5" customHeight="1">
      <c r="A17" s="36"/>
      <c r="B17" s="58"/>
      <c r="C17" s="786" t="s">
        <v>854</v>
      </c>
      <c r="D17" s="34"/>
      <c r="E17" s="420" t="str">
        <f>IF(Ergebnishaushalt!E12="","",E15-SUM(E16:E16))</f>
        <v/>
      </c>
      <c r="F17" s="420" t="str">
        <f>IF(Ergebnishaushalt!F12="","",F15-SUM(F16:F16))</f>
        <v/>
      </c>
      <c r="G17" s="422" t="str">
        <f>IF(Ergebnishaushalt!G12="","",G15-SUM(G16:G16))</f>
        <v/>
      </c>
      <c r="H17" s="423" t="str">
        <f>IF(Ergebnishaushalt!H12="","",H15-SUM(H16:H16))</f>
        <v/>
      </c>
      <c r="I17" s="420" t="str">
        <f>IF(Ergebnishaushalt!I12="","",I15-SUM(I16:I16))</f>
        <v/>
      </c>
      <c r="J17" s="420" t="str">
        <f>IF(Ergebnishaushalt!J12="","",J15-SUM(J16:J16))</f>
        <v/>
      </c>
    </row>
    <row r="18" spans="1:10" ht="38.25" customHeight="1">
      <c r="A18" s="413">
        <v>16</v>
      </c>
      <c r="B18" s="414">
        <v>73</v>
      </c>
      <c r="C18" s="415" t="s">
        <v>38</v>
      </c>
      <c r="D18" s="75"/>
      <c r="E18" s="416">
        <f>Ergebnishaushalt!E21</f>
        <v>0</v>
      </c>
      <c r="F18" s="417">
        <f>Ergebnishaushalt!F21</f>
        <v>0</v>
      </c>
      <c r="G18" s="418">
        <f>Ergebnishaushalt!G21</f>
        <v>0</v>
      </c>
      <c r="H18" s="419">
        <f>Ergebnishaushalt!H21</f>
        <v>0</v>
      </c>
      <c r="I18" s="416">
        <f>Ergebnishaushalt!I21</f>
        <v>0</v>
      </c>
      <c r="J18" s="416">
        <f>Ergebnishaushalt!J21</f>
        <v>0</v>
      </c>
    </row>
    <row r="19" spans="1:10" ht="28.5" customHeight="1">
      <c r="A19" s="406" t="s">
        <v>63</v>
      </c>
      <c r="B19" s="401">
        <v>7353</v>
      </c>
      <c r="C19" s="787" t="s">
        <v>845</v>
      </c>
      <c r="D19" s="34"/>
      <c r="E19" s="440"/>
      <c r="F19" s="441"/>
      <c r="G19" s="442"/>
      <c r="H19" s="440"/>
      <c r="I19" s="440"/>
      <c r="J19" s="440"/>
    </row>
    <row r="20" spans="1:10" ht="28.5" customHeight="1">
      <c r="A20" s="36"/>
      <c r="B20" s="401">
        <v>73541</v>
      </c>
      <c r="C20" s="788" t="s">
        <v>846</v>
      </c>
      <c r="D20" s="34"/>
      <c r="E20" s="440"/>
      <c r="F20" s="441"/>
      <c r="G20" s="442"/>
      <c r="H20" s="440"/>
      <c r="I20" s="440"/>
      <c r="J20" s="440"/>
    </row>
    <row r="21" spans="1:10" ht="28.5" customHeight="1">
      <c r="A21" s="36"/>
      <c r="B21" s="401">
        <v>73542</v>
      </c>
      <c r="C21" s="786" t="s">
        <v>847</v>
      </c>
      <c r="D21" s="34"/>
      <c r="E21" s="440"/>
      <c r="F21" s="441"/>
      <c r="G21" s="442"/>
      <c r="H21" s="440"/>
      <c r="I21" s="440"/>
      <c r="J21" s="440"/>
    </row>
    <row r="22" spans="1:10" ht="28.5" customHeight="1">
      <c r="A22" s="36"/>
      <c r="B22" s="401">
        <v>73543</v>
      </c>
      <c r="C22" s="788" t="s">
        <v>848</v>
      </c>
      <c r="D22" s="34"/>
      <c r="E22" s="440"/>
      <c r="F22" s="441"/>
      <c r="G22" s="442"/>
      <c r="H22" s="440"/>
      <c r="I22" s="440"/>
      <c r="J22" s="440"/>
    </row>
    <row r="23" spans="1:10" ht="28.5" customHeight="1" thickBot="1">
      <c r="A23" s="36"/>
      <c r="B23" s="408">
        <v>735490</v>
      </c>
      <c r="C23" s="789" t="s">
        <v>120</v>
      </c>
      <c r="D23" s="387"/>
      <c r="E23" s="440"/>
      <c r="F23" s="441"/>
      <c r="G23" s="442"/>
      <c r="H23" s="440"/>
      <c r="I23" s="440"/>
      <c r="J23" s="440"/>
    </row>
    <row r="24" spans="1:10" ht="28.5" customHeight="1">
      <c r="A24" s="36"/>
      <c r="B24" s="409">
        <v>735490</v>
      </c>
      <c r="C24" s="790" t="s">
        <v>699</v>
      </c>
      <c r="D24" s="389"/>
      <c r="E24" s="440"/>
      <c r="F24" s="441"/>
      <c r="G24" s="442"/>
      <c r="H24" s="440"/>
      <c r="I24" s="440"/>
      <c r="J24" s="440"/>
    </row>
    <row r="25" spans="1:10" ht="28.5" customHeight="1">
      <c r="A25" s="36"/>
      <c r="B25" s="434"/>
      <c r="C25" s="966"/>
      <c r="D25" s="967"/>
      <c r="E25" s="440"/>
      <c r="F25" s="441"/>
      <c r="G25" s="442"/>
      <c r="H25" s="440"/>
      <c r="I25" s="440"/>
      <c r="J25" s="440"/>
    </row>
    <row r="26" spans="1:10" ht="28.5" customHeight="1" thickBot="1">
      <c r="A26" s="36"/>
      <c r="B26" s="435"/>
      <c r="C26" s="968"/>
      <c r="D26" s="969"/>
      <c r="E26" s="440"/>
      <c r="F26" s="441"/>
      <c r="G26" s="442"/>
      <c r="H26" s="440"/>
      <c r="I26" s="440"/>
      <c r="J26" s="440"/>
    </row>
    <row r="27" spans="1:10" ht="28.5" customHeight="1">
      <c r="A27" s="36"/>
      <c r="B27" s="411">
        <v>7380</v>
      </c>
      <c r="C27" s="791" t="s">
        <v>849</v>
      </c>
      <c r="D27" s="388"/>
      <c r="E27" s="440"/>
      <c r="F27" s="441"/>
      <c r="G27" s="442"/>
      <c r="H27" s="440"/>
      <c r="I27" s="440"/>
      <c r="J27" s="440"/>
    </row>
    <row r="28" spans="1:10" ht="28.5" customHeight="1">
      <c r="A28" s="36"/>
      <c r="B28" s="411">
        <v>735</v>
      </c>
      <c r="C28" s="792" t="s">
        <v>850</v>
      </c>
      <c r="D28" s="388"/>
      <c r="E28" s="440"/>
      <c r="F28" s="441"/>
      <c r="G28" s="442"/>
      <c r="H28" s="440"/>
      <c r="I28" s="440"/>
      <c r="J28" s="440"/>
    </row>
    <row r="29" spans="1:10" ht="28.5" customHeight="1">
      <c r="A29" s="36"/>
      <c r="B29" s="58"/>
      <c r="C29" s="786" t="s">
        <v>844</v>
      </c>
      <c r="D29" s="34"/>
      <c r="E29" s="420" t="str">
        <f>IF(Ergebnishaushalt!E21="","",E18-SUM(E19:E28))</f>
        <v/>
      </c>
      <c r="F29" s="421" t="str">
        <f>IF(Ergebnishaushalt!F21="","",F18-SUM(F19:F28))</f>
        <v/>
      </c>
      <c r="G29" s="422" t="str">
        <f>IF(Ergebnishaushalt!G21="","",G18-SUM(G19:G28))</f>
        <v/>
      </c>
      <c r="H29" s="423" t="str">
        <f>IF(Ergebnishaushalt!H21="","",H18-SUM(H19:H28))</f>
        <v/>
      </c>
      <c r="I29" s="420" t="str">
        <f>IF(Ergebnishaushalt!I21="","",I18-SUM(I19:I28))</f>
        <v/>
      </c>
      <c r="J29" s="420" t="str">
        <f>IF(Ergebnishaushalt!J21="","",J18-SUM(J19:J28))</f>
        <v/>
      </c>
    </row>
    <row r="30" spans="1:10" ht="28.5" customHeight="1">
      <c r="A30" s="413">
        <v>22</v>
      </c>
      <c r="B30" s="414">
        <v>77</v>
      </c>
      <c r="C30" s="415" t="s">
        <v>20</v>
      </c>
      <c r="D30" s="77"/>
      <c r="E30" s="416">
        <f>Ergebnishaushalt!E27</f>
        <v>0</v>
      </c>
      <c r="F30" s="417">
        <f>Ergebnishaushalt!F27</f>
        <v>0</v>
      </c>
      <c r="G30" s="418">
        <f>Ergebnishaushalt!G27</f>
        <v>0</v>
      </c>
      <c r="H30" s="419">
        <f>Ergebnishaushalt!H27</f>
        <v>0</v>
      </c>
      <c r="I30" s="416">
        <f>Ergebnishaushalt!I27</f>
        <v>0</v>
      </c>
      <c r="J30" s="416">
        <f>Ergebnishaushalt!J27</f>
        <v>0</v>
      </c>
    </row>
    <row r="31" spans="1:10" ht="28.5" customHeight="1">
      <c r="A31" s="36"/>
      <c r="B31" s="79"/>
      <c r="C31" s="786" t="s">
        <v>851</v>
      </c>
      <c r="D31" s="35"/>
      <c r="E31" s="440"/>
      <c r="F31" s="441"/>
      <c r="G31" s="442"/>
      <c r="H31" s="440"/>
      <c r="I31" s="440"/>
      <c r="J31" s="440"/>
    </row>
    <row r="32" spans="1:10" ht="28.5" customHeight="1" thickBot="1">
      <c r="A32" s="36"/>
      <c r="B32" s="79"/>
      <c r="C32" s="786" t="s">
        <v>852</v>
      </c>
      <c r="D32" s="35"/>
      <c r="E32" s="440"/>
      <c r="F32" s="441"/>
      <c r="G32" s="444"/>
      <c r="H32" s="440"/>
      <c r="I32" s="440"/>
      <c r="J32" s="440"/>
    </row>
    <row r="33" spans="1:6" ht="28.5" customHeight="1">
      <c r="A33" s="21"/>
      <c r="B33" s="20"/>
      <c r="C33" s="25"/>
      <c r="D33" s="23"/>
      <c r="E33" s="22"/>
      <c r="F33" s="24"/>
    </row>
    <row r="34" spans="1:6" ht="28.5" customHeight="1">
      <c r="A34" s="21"/>
      <c r="B34" s="20"/>
      <c r="C34" s="25"/>
      <c r="D34" s="23"/>
      <c r="E34" s="22"/>
      <c r="F34" s="24"/>
    </row>
    <row r="35" spans="1:6" ht="28.5" customHeight="1">
      <c r="A35" s="21"/>
      <c r="B35" s="20"/>
      <c r="C35" s="25"/>
      <c r="D35" s="23"/>
      <c r="E35" s="22"/>
      <c r="F35" s="24"/>
    </row>
    <row r="36" spans="1:6" ht="28.5" customHeight="1">
      <c r="A36" s="21"/>
      <c r="B36" s="20"/>
      <c r="C36" s="25"/>
      <c r="D36" s="23"/>
      <c r="E36" s="22"/>
      <c r="F36" s="24"/>
    </row>
    <row r="37" spans="1:6" ht="28.5" customHeight="1">
      <c r="A37" s="21"/>
      <c r="B37" s="20"/>
      <c r="C37" s="25"/>
      <c r="D37" s="23"/>
      <c r="E37" s="22"/>
      <c r="F37" s="24"/>
    </row>
    <row r="38" spans="1:6" ht="28.5" customHeight="1">
      <c r="A38" s="21"/>
      <c r="B38" s="20"/>
      <c r="C38" s="25"/>
      <c r="D38" s="23"/>
      <c r="E38" s="22"/>
      <c r="F38" s="24"/>
    </row>
    <row r="39" spans="1:6" ht="28.5" customHeight="1">
      <c r="A39" s="21"/>
      <c r="B39" s="20"/>
      <c r="C39" s="25"/>
      <c r="D39" s="23"/>
      <c r="E39" s="22"/>
      <c r="F39" s="24"/>
    </row>
    <row r="40" spans="1:6" ht="28.5" customHeight="1">
      <c r="A40" s="21"/>
      <c r="B40" s="20"/>
      <c r="C40" s="25"/>
      <c r="D40" s="23"/>
      <c r="E40" s="22"/>
      <c r="F40" s="24"/>
    </row>
    <row r="41" spans="1:6" ht="28.5" customHeight="1">
      <c r="A41" s="21"/>
      <c r="B41" s="20"/>
      <c r="C41" s="25"/>
      <c r="D41" s="23"/>
      <c r="E41" s="22"/>
      <c r="F41" s="24"/>
    </row>
    <row r="42" spans="1:6" ht="28.5" customHeight="1">
      <c r="A42" s="21"/>
      <c r="B42" s="20"/>
      <c r="C42" s="25"/>
      <c r="D42" s="23"/>
      <c r="E42" s="22"/>
      <c r="F42" s="24"/>
    </row>
    <row r="43" spans="1:6" ht="28.5" customHeight="1">
      <c r="A43" s="21"/>
      <c r="B43" s="20"/>
      <c r="C43" s="25"/>
      <c r="D43" s="23"/>
      <c r="E43" s="22"/>
      <c r="F43" s="24"/>
    </row>
    <row r="44" spans="1:6" ht="28.5" customHeight="1">
      <c r="A44" s="26"/>
      <c r="B44" s="26"/>
      <c r="C44" s="26"/>
      <c r="D44" s="26"/>
      <c r="E44" s="22"/>
      <c r="F44" s="24"/>
    </row>
    <row r="45" spans="1:6" ht="28.5" customHeight="1">
      <c r="A45" s="26"/>
      <c r="B45" s="26"/>
      <c r="C45" s="26"/>
      <c r="D45" s="26"/>
      <c r="E45" s="22"/>
      <c r="F45" s="24"/>
    </row>
    <row r="46" spans="1:6" ht="28.5" customHeight="1">
      <c r="A46" s="26"/>
      <c r="B46" s="26"/>
      <c r="C46" s="26"/>
      <c r="D46" s="26"/>
      <c r="E46" s="22"/>
      <c r="F46" s="24"/>
    </row>
    <row r="47" spans="1:6" ht="28.5" customHeight="1">
      <c r="A47" s="26"/>
      <c r="B47" s="26"/>
      <c r="C47" s="26"/>
      <c r="D47" s="26"/>
      <c r="E47" s="22"/>
      <c r="F47" s="24"/>
    </row>
    <row r="48" spans="1:6" ht="28.5" customHeight="1">
      <c r="A48" s="26"/>
      <c r="B48" s="26"/>
      <c r="C48" s="26"/>
      <c r="D48" s="26"/>
      <c r="E48" s="22"/>
      <c r="F48" s="24"/>
    </row>
    <row r="49" spans="1:6" ht="28.5" customHeight="1">
      <c r="A49" s="26"/>
      <c r="B49" s="26"/>
      <c r="C49" s="26"/>
      <c r="D49" s="26"/>
      <c r="E49" s="22"/>
      <c r="F49" s="24"/>
    </row>
    <row r="50" spans="1:6" ht="28.5" customHeight="1">
      <c r="A50" s="26"/>
      <c r="B50" s="26"/>
      <c r="C50" s="26"/>
      <c r="D50" s="26"/>
      <c r="E50" s="22"/>
      <c r="F50" s="24"/>
    </row>
    <row r="51" spans="1:6" ht="28.5" customHeight="1">
      <c r="A51" s="26"/>
      <c r="B51" s="26"/>
      <c r="C51" s="26"/>
      <c r="D51" s="26"/>
      <c r="E51" s="22"/>
      <c r="F51" s="24"/>
    </row>
    <row r="52" spans="1:6" ht="28.5" customHeight="1">
      <c r="A52" s="26"/>
      <c r="B52" s="26"/>
      <c r="C52" s="26"/>
      <c r="D52" s="26"/>
      <c r="E52" s="22"/>
      <c r="F52" s="24"/>
    </row>
    <row r="53" spans="1:6" ht="28.5" customHeight="1">
      <c r="A53" s="26"/>
      <c r="B53" s="26"/>
      <c r="C53" s="26"/>
      <c r="D53" s="26"/>
      <c r="E53" s="22"/>
      <c r="F53" s="24"/>
    </row>
    <row r="54" spans="1:6" ht="28.5" customHeight="1">
      <c r="A54" s="26"/>
      <c r="B54" s="26"/>
      <c r="C54" s="26"/>
      <c r="D54" s="26"/>
      <c r="E54" s="22"/>
      <c r="F54" s="24"/>
    </row>
    <row r="55" spans="1:6" ht="28.5" customHeight="1">
      <c r="A55" s="26"/>
      <c r="B55" s="26"/>
      <c r="C55" s="26"/>
      <c r="D55" s="26"/>
      <c r="E55" s="22"/>
      <c r="F55" s="24"/>
    </row>
    <row r="56" spans="1:6" ht="28.5" customHeight="1">
      <c r="A56" s="26"/>
      <c r="B56" s="26"/>
      <c r="C56" s="26"/>
      <c r="D56" s="26"/>
      <c r="E56" s="22"/>
      <c r="F56" s="24"/>
    </row>
    <row r="57" spans="1:6" ht="28.5" customHeight="1">
      <c r="A57" s="26"/>
      <c r="B57" s="26"/>
      <c r="C57" s="26"/>
      <c r="D57" s="26"/>
      <c r="E57" s="22"/>
      <c r="F57" s="24"/>
    </row>
    <row r="58" spans="1:6" ht="28.5" customHeight="1">
      <c r="A58" s="26"/>
      <c r="B58" s="26"/>
      <c r="C58" s="26"/>
      <c r="D58" s="26"/>
      <c r="E58" s="26"/>
    </row>
    <row r="59" spans="1:6" ht="28.5" customHeight="1">
      <c r="A59" s="26"/>
      <c r="B59" s="26"/>
      <c r="C59" s="26"/>
      <c r="D59" s="26"/>
      <c r="E59" s="26"/>
    </row>
    <row r="60" spans="1:6" ht="28.5" customHeight="1">
      <c r="A60" s="26"/>
      <c r="B60" s="26"/>
      <c r="C60" s="26"/>
      <c r="D60" s="26"/>
      <c r="E60" s="26"/>
    </row>
    <row r="61" spans="1:6" ht="28.5" customHeight="1">
      <c r="A61" s="26"/>
      <c r="B61" s="26"/>
      <c r="C61" s="26"/>
      <c r="D61" s="26"/>
      <c r="E61" s="26"/>
    </row>
    <row r="62" spans="1:6" ht="28.5" customHeight="1">
      <c r="A62" s="26"/>
      <c r="B62" s="26"/>
      <c r="C62" s="26"/>
      <c r="D62" s="26"/>
      <c r="E62" s="26"/>
    </row>
    <row r="63" spans="1:6" ht="28.5" customHeight="1">
      <c r="A63" s="26"/>
      <c r="B63" s="26"/>
      <c r="C63" s="26"/>
      <c r="D63" s="26"/>
      <c r="E63" s="26"/>
    </row>
    <row r="64" spans="1:6" ht="28.5" customHeight="1">
      <c r="A64" s="26"/>
      <c r="B64" s="26"/>
      <c r="C64" s="26"/>
      <c r="D64" s="26"/>
      <c r="E64" s="26"/>
    </row>
    <row r="65" spans="1:5" ht="28.5" customHeight="1">
      <c r="A65" s="26"/>
      <c r="B65" s="26"/>
      <c r="C65" s="26"/>
      <c r="D65" s="26"/>
      <c r="E65" s="26"/>
    </row>
    <row r="66" spans="1:5" ht="28.5" customHeight="1">
      <c r="A66" s="26"/>
      <c r="B66" s="26"/>
      <c r="C66" s="26"/>
      <c r="D66" s="26"/>
      <c r="E66" s="26"/>
    </row>
    <row r="67" spans="1:5" ht="28.5" customHeight="1">
      <c r="A67" s="26"/>
      <c r="B67" s="26"/>
      <c r="C67" s="26"/>
      <c r="D67" s="26"/>
      <c r="E67" s="26"/>
    </row>
    <row r="68" spans="1:5" ht="28.5" customHeight="1">
      <c r="A68" s="26"/>
      <c r="B68" s="26"/>
      <c r="C68" s="26"/>
      <c r="D68" s="26"/>
      <c r="E68" s="26"/>
    </row>
    <row r="69" spans="1:5" ht="28.5" customHeight="1">
      <c r="A69" s="26"/>
      <c r="B69" s="26"/>
      <c r="C69" s="26"/>
      <c r="D69" s="26"/>
      <c r="E69" s="26"/>
    </row>
    <row r="70" spans="1:5" ht="28.5" customHeight="1">
      <c r="A70" s="26"/>
      <c r="B70" s="26"/>
      <c r="C70" s="26"/>
      <c r="D70" s="26"/>
      <c r="E70" s="26"/>
    </row>
    <row r="71" spans="1:5" ht="28.5" customHeight="1">
      <c r="A71" s="26"/>
      <c r="B71" s="26"/>
      <c r="C71" s="26"/>
      <c r="D71" s="26"/>
      <c r="E71" s="26"/>
    </row>
    <row r="72" spans="1:5" ht="28.5" customHeight="1">
      <c r="A72" s="26"/>
      <c r="B72" s="26"/>
      <c r="C72" s="26"/>
      <c r="D72" s="26"/>
      <c r="E72" s="26"/>
    </row>
  </sheetData>
  <sheetProtection algorithmName="SHA-512" hashValue="GNcEpvSI6r+I/1+MR6uaKoFhCaUYCQ65yNM2Cpx9WSPT8+0PCtLvE2ORG6z5DsK8WbVnZrWeGRZGYrXWaHBKPg==" saltValue="gbd8znPKB0HpY/Q+P9TE1w==" spinCount="100000" sheet="1" objects="1" scenarios="1" formatColumns="0"/>
  <mergeCells count="4">
    <mergeCell ref="E3:J3"/>
    <mergeCell ref="C6:D6"/>
    <mergeCell ref="C25:D25"/>
    <mergeCell ref="C26:D26"/>
  </mergeCells>
  <phoneticPr fontId="17" type="noConversion"/>
  <conditionalFormatting sqref="B25">
    <cfRule type="cellIs" dxfId="30" priority="13" operator="between">
      <formula>1</formula>
      <formula>99999999999999900</formula>
    </cfRule>
  </conditionalFormatting>
  <conditionalFormatting sqref="C25">
    <cfRule type="expression" dxfId="29" priority="9">
      <formula>NOT(ISBLANK(C25))</formula>
    </cfRule>
    <cfRule type="expression" dxfId="28" priority="10">
      <formula>ISBLANK(B25)=test</formula>
    </cfRule>
  </conditionalFormatting>
  <conditionalFormatting sqref="C26">
    <cfRule type="expression" dxfId="27" priority="2">
      <formula>NOT(ISBLANK(C26))</formula>
    </cfRule>
    <cfRule type="expression" dxfId="26" priority="3">
      <formula>ISBLANK(B26)=test</formula>
    </cfRule>
  </conditionalFormatting>
  <conditionalFormatting sqref="B26">
    <cfRule type="cellIs" dxfId="25" priority="1" operator="between">
      <formula>1</formula>
      <formula>99999999999999900</formula>
    </cfRule>
  </conditionalFormatting>
  <dataValidations count="3">
    <dataValidation allowBlank="1" showErrorMessage="1" prompt="Bitte auswählen, ob die Angaben auf einem endgültigem oder auf einem einem vorläufigen Rechnungsergebnis oder hilfsweise auf einem (Nachtrags-) Planwert beruhen." sqref="E2"/>
    <dataValidation allowBlank="1" showErrorMessage="1" prompt="Bitte auswählen, ob die Angaben auf dem Stand des Haushaltsplans oder eines Nachtragshaushaltsplans beruhen." sqref="F2"/>
    <dataValidation type="decimal" errorStyle="information" allowBlank="1" showErrorMessage="1" error="Grundsätzlich sind nur positive Werte zulässig. Bitte prüfen Sie daher, ob der einzutragende Wert ausnahmsweise nach der Planung bzw. dem Rechnungsergebnis negativ sein muss. " sqref="E6:J13 E16:J16 E19:J28 E31:J32">
      <formula1>0</formula1>
      <formula2>9999999999999990000</formula2>
    </dataValidation>
  </dataValidations>
  <printOptions horizontalCentered="1" verticalCentered="1"/>
  <pageMargins left="0.78740157480314965" right="0.78740157480314965" top="0.6692913385826772" bottom="0.6692913385826772" header="0.43307086614173229" footer="0.43307086614173229"/>
  <pageSetup paperSize="9" scale="49" fitToWidth="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16</vt:i4>
      </vt:variant>
    </vt:vector>
  </HeadingPairs>
  <TitlesOfParts>
    <vt:vector size="30" baseType="lpstr">
      <vt:lpstr>Kommunen</vt:lpstr>
      <vt:lpstr>Deckblatt</vt:lpstr>
      <vt:lpstr>Allgemeine Finanzinformationen</vt:lpstr>
      <vt:lpstr>KASH Planjahr</vt:lpstr>
      <vt:lpstr>KASH Jahresabschluss</vt:lpstr>
      <vt:lpstr>Erläuterungen f. Lf.</vt:lpstr>
      <vt:lpstr>FAG und Abgaben</vt:lpstr>
      <vt:lpstr>Ergebnishaushalt</vt:lpstr>
      <vt:lpstr>Details Ergebnishaushalt</vt:lpstr>
      <vt:lpstr>Finanzhaushalt</vt:lpstr>
      <vt:lpstr>Verbindlichkeiten </vt:lpstr>
      <vt:lpstr>Produktbereiche</vt:lpstr>
      <vt:lpstr>Liquiditätsplanung §105</vt:lpstr>
      <vt:lpstr>Anmerkungen Aufsichtsbehörde</vt:lpstr>
      <vt:lpstr>'KASH Jahresabschluss'!Auswahlliste</vt:lpstr>
      <vt:lpstr>Auswahlliste</vt:lpstr>
      <vt:lpstr>Beitragssysteme</vt:lpstr>
      <vt:lpstr>Deckblatt!Druckbereich</vt:lpstr>
      <vt:lpstr>Finanzhaushalt!Druckbereich</vt:lpstr>
      <vt:lpstr>'KASH Jahresabschluss'!Druckbereich</vt:lpstr>
      <vt:lpstr>'KASH Planjahr'!Druckbereich</vt:lpstr>
      <vt:lpstr>Kommunen!Druckbereich</vt:lpstr>
      <vt:lpstr>'Liquiditätsplanung §105'!Druckbereich</vt:lpstr>
      <vt:lpstr>Produktbereiche!Druckbereich</vt:lpstr>
      <vt:lpstr>'Verbindlichkeiten '!Druckbereich</vt:lpstr>
      <vt:lpstr>'Details Ergebnishaushalt'!Drucktitel</vt:lpstr>
      <vt:lpstr>Ergebnishaushalt!Drucktitel</vt:lpstr>
      <vt:lpstr>Produktbereiche!Drucktitel</vt:lpstr>
      <vt:lpstr>'KASH Jahresabschluss'!LEER</vt:lpstr>
      <vt:lpstr>LEER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Beurteilungsbogen-Doppik</dc:title>
  <dc:subject>Haushaltsanalyse</dc:subject>
  <dc:creator>Stephan</dc:creator>
  <cp:keywords>Analyse, Haushalt, Beurteilung, Doppik</cp:keywords>
  <dc:description>23.10.2016 - 15:30 Uhr
Neufassung des Beurteilungsbogens, Finanzmittelfluss umbenannt in Zahlungsmittelfluss,
Berechnung nach direkter und indirekter Methode möglich,
Verbindlichkeiten - Stand der Kassenkredite zum Ende Hj. aufgenommen,
Aufschlüsselung - zusätzliche freie Zeilen vorgesehen.
07.05.2010 - 09:00 Uhr
Änderungen zu Berechnung Schulumlage bei FAG,
Finanzmittelfluss - Abschreibungen nicht mehr automatisch aus Ergebnishaushalt generiert,
Orientierungsdaten - Aufnahme Umlage Planungsverband.
02.10.2009 - 10:00 Uhr
Aufbau Deckblatt verändert,
Formulierungsänderung bei Verbindlichkeiten
18.08.2009 - 14:55 Uhr
Aufschlüsselung - andere Steuern fehlten bei O-Daten - neue Verknüpfungen
08.07.2009 - 11:35 Uhr
letzte Anpassungen bei Formatierungen,
Schutz für die Registerblätter festgelegt, dabei 
Freigabe für Zellen, Spalten und Zeilen formatieren erlaubt.
25.06.2009 - 07:15 Uhr
letzte Änderungen beim Finanzmittelfluss
19.06.2009 - 10:00 Uhr
Anpassung Formatierungen und andere kleinere Änderungen
19.05.2009 - 15:20 Uhr
Änderungen und Ergänzungen bei FAG, Kennzahlen; Verbindlichkeiten
04.03.2009 - 10:40 Uhr
Finanzmittelfluss: Spalte für RE eingefügt,
Deckblatt und Berichtigungen weiter automatisiert
24.02.2009 - 10:50 Uhr
Verbindlichkeiten: Fehlbeträge (auch kameral), genehmigungspflichtige Teile und Einzelgenehmigung dazu genommen.
20.02.2009 - 10:50 Uhr
Finanzmittelfluss: Änderung der Bezüge von Erträgen zu Aufwendungen
18.02.09 - 15:40 Uhr
Berichtigungen: Kommastelle geändert und Angaben in 1.000 €
10.02.09 - 11:10 Uhr
Vorzeichen der Differenz bei den Aufwendungen (Berichtigungen) geändert.
27.01.09 - 15:30 Uhr
Arbeitsblatt - Finanzmittelfluss
Aufwendungen Ergebnishaushalt korrigiert.
30.09.08 - 09:00 Uhr
Zugriff Schlüsselzuweisung bei Aufschlüsselung und Berichtigungen verändert. Addition Verbindlichkeiten geändert.
24.09.08 - 14:25 Uhr
Fehler beim Finanzmittelfluss und Aufschlüsselung Schlüsselzuweisung behoben.</dc:description>
  <cp:lastModifiedBy>Ostgen, Stephan (HMdIS)</cp:lastModifiedBy>
  <cp:lastPrinted>2024-02-08T11:00:50Z</cp:lastPrinted>
  <dcterms:created xsi:type="dcterms:W3CDTF">2008-05-20T11:57:18Z</dcterms:created>
  <dcterms:modified xsi:type="dcterms:W3CDTF">2024-08-08T13:29:50Z</dcterms:modified>
  <cp:category>Finanzen</cp:category>
</cp:coreProperties>
</file>